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5300" windowHeight="9270" activeTab="0"/>
  </bookViews>
  <sheets>
    <sheet name="Motordaten" sheetId="1" r:id="rId1"/>
    <sheet name="Vergleichshilfe" sheetId="2" r:id="rId2"/>
    <sheet name="Vorlage f. Kennlinien" sheetId="3" r:id="rId3"/>
    <sheet name="Lizenz  &amp; Co" sheetId="4" r:id="rId4"/>
  </sheets>
  <definedNames>
    <definedName name="_xlnm.Print_Area" localSheetId="3">'Lizenz  &amp; Co'!#REF!</definedName>
    <definedName name="_xlnm.Print_Area" localSheetId="0">'Motordaten'!$A$1:$O$29</definedName>
    <definedName name="_xlnm.Print_Area" localSheetId="1">'Vergleichshilfe'!$A$1:$L$34</definedName>
    <definedName name="_xlnm.Print_Area" localSheetId="2">'Vorlage f. Kennlinien'!$A$1:$O$48</definedName>
  </definedNames>
  <calcPr fullCalcOnLoad="1"/>
</workbook>
</file>

<file path=xl/sharedStrings.xml><?xml version="1.0" encoding="utf-8"?>
<sst xmlns="http://schemas.openxmlformats.org/spreadsheetml/2006/main" count="241" uniqueCount="151">
  <si>
    <r>
      <t>r</t>
    </r>
    <r>
      <rPr>
        <vertAlign val="subscript"/>
        <sz val="10"/>
        <rFont val="Courier New"/>
        <family val="3"/>
      </rPr>
      <t>Winde</t>
    </r>
  </si>
  <si>
    <t>mm</t>
  </si>
  <si>
    <t>Arbeitspunkt 1</t>
  </si>
  <si>
    <t>№</t>
  </si>
  <si>
    <r>
      <t>M</t>
    </r>
    <r>
      <rPr>
        <vertAlign val="subscript"/>
        <sz val="10"/>
        <rFont val="Courier New"/>
        <family val="3"/>
      </rPr>
      <t>Last</t>
    </r>
  </si>
  <si>
    <r>
      <t>n</t>
    </r>
    <r>
      <rPr>
        <vertAlign val="subscript"/>
        <sz val="10"/>
        <rFont val="Courier New"/>
        <family val="3"/>
      </rPr>
      <t>Last</t>
    </r>
  </si>
  <si>
    <r>
      <t>I</t>
    </r>
    <r>
      <rPr>
        <vertAlign val="subscript"/>
        <sz val="10"/>
        <rFont val="Courier New"/>
        <family val="3"/>
      </rPr>
      <t>Last</t>
    </r>
  </si>
  <si>
    <r>
      <t>P</t>
    </r>
    <r>
      <rPr>
        <vertAlign val="subscript"/>
        <sz val="10"/>
        <rFont val="Courier New"/>
        <family val="3"/>
      </rPr>
      <t>Mech</t>
    </r>
  </si>
  <si>
    <r>
      <t>P</t>
    </r>
    <r>
      <rPr>
        <vertAlign val="subscript"/>
        <sz val="10"/>
        <rFont val="Courier New"/>
        <family val="3"/>
      </rPr>
      <t>Elek</t>
    </r>
  </si>
  <si>
    <r>
      <t>h</t>
    </r>
    <r>
      <rPr>
        <vertAlign val="subscript"/>
        <sz val="10"/>
        <rFont val="Courier New"/>
        <family val="3"/>
      </rPr>
      <t>Motor</t>
    </r>
  </si>
  <si>
    <r>
      <t>V</t>
    </r>
    <r>
      <rPr>
        <vertAlign val="subscript"/>
        <sz val="10"/>
        <rFont val="Courier New"/>
        <family val="3"/>
      </rPr>
      <t>last1</t>
    </r>
  </si>
  <si>
    <t>V</t>
  </si>
  <si>
    <t>Nm</t>
  </si>
  <si>
    <r>
      <t>min</t>
    </r>
    <r>
      <rPr>
        <vertAlign val="superscript"/>
        <sz val="10"/>
        <rFont val="Courier New"/>
        <family val="3"/>
      </rPr>
      <t>-1</t>
    </r>
  </si>
  <si>
    <t>A</t>
  </si>
  <si>
    <t>W</t>
  </si>
  <si>
    <t>%</t>
  </si>
  <si>
    <r>
      <t>I</t>
    </r>
    <r>
      <rPr>
        <vertAlign val="subscript"/>
        <sz val="10"/>
        <rFont val="Courier New"/>
        <family val="3"/>
      </rPr>
      <t>last1</t>
    </r>
  </si>
  <si>
    <r>
      <t>m</t>
    </r>
    <r>
      <rPr>
        <vertAlign val="subscript"/>
        <sz val="10"/>
        <rFont val="Courier New"/>
        <family val="3"/>
      </rPr>
      <t>Last1</t>
    </r>
  </si>
  <si>
    <t>kg</t>
  </si>
  <si>
    <r>
      <t>n</t>
    </r>
    <r>
      <rPr>
        <vertAlign val="subscript"/>
        <sz val="10"/>
        <rFont val="Courier New"/>
        <family val="3"/>
      </rPr>
      <t>Last1</t>
    </r>
  </si>
  <si>
    <t>Arbeitspunkt 2</t>
  </si>
  <si>
    <r>
      <t>V</t>
    </r>
    <r>
      <rPr>
        <vertAlign val="subscript"/>
        <sz val="10"/>
        <rFont val="Courier New"/>
        <family val="3"/>
      </rPr>
      <t>last2</t>
    </r>
  </si>
  <si>
    <r>
      <t>I</t>
    </r>
    <r>
      <rPr>
        <vertAlign val="subscript"/>
        <sz val="10"/>
        <rFont val="Courier New"/>
        <family val="3"/>
      </rPr>
      <t>last2</t>
    </r>
  </si>
  <si>
    <r>
      <t>m</t>
    </r>
    <r>
      <rPr>
        <vertAlign val="subscript"/>
        <sz val="10"/>
        <rFont val="Courier New"/>
        <family val="3"/>
      </rPr>
      <t>Last2</t>
    </r>
  </si>
  <si>
    <r>
      <t>n</t>
    </r>
    <r>
      <rPr>
        <vertAlign val="subscript"/>
        <sz val="10"/>
        <rFont val="Courier New"/>
        <family val="3"/>
      </rPr>
      <t>Last2</t>
    </r>
  </si>
  <si>
    <t>Motormodell</t>
  </si>
  <si>
    <r>
      <t>K</t>
    </r>
    <r>
      <rPr>
        <vertAlign val="subscript"/>
        <sz val="10"/>
        <rFont val="Courier New"/>
        <family val="3"/>
      </rPr>
      <t>U</t>
    </r>
  </si>
  <si>
    <r>
      <t>V/min</t>
    </r>
    <r>
      <rPr>
        <vertAlign val="superscript"/>
        <sz val="10"/>
        <rFont val="Courier New"/>
        <family val="3"/>
      </rPr>
      <t>-1</t>
    </r>
  </si>
  <si>
    <r>
      <t>K</t>
    </r>
    <r>
      <rPr>
        <vertAlign val="subscript"/>
        <sz val="10"/>
        <rFont val="Courier New"/>
        <family val="3"/>
      </rPr>
      <t>I</t>
    </r>
  </si>
  <si>
    <t>Nm/A</t>
  </si>
  <si>
    <r>
      <t>R</t>
    </r>
    <r>
      <rPr>
        <vertAlign val="subscript"/>
        <sz val="10"/>
        <rFont val="Courier New"/>
        <family val="3"/>
      </rPr>
      <t>i</t>
    </r>
  </si>
  <si>
    <r>
      <t>M</t>
    </r>
    <r>
      <rPr>
        <vertAlign val="subscript"/>
        <sz val="10"/>
        <rFont val="Courier New"/>
        <family val="3"/>
      </rPr>
      <t>Lager</t>
    </r>
  </si>
  <si>
    <r>
      <rPr>
        <sz val="10"/>
        <rFont val="Symbol"/>
        <family val="1"/>
      </rPr>
      <t>h</t>
    </r>
    <r>
      <rPr>
        <vertAlign val="subscript"/>
        <sz val="10"/>
        <rFont val="Arial"/>
        <family val="2"/>
      </rPr>
      <t>Getriebe</t>
    </r>
  </si>
  <si>
    <t>Betriebsspannung</t>
  </si>
  <si>
    <r>
      <t>V</t>
    </r>
    <r>
      <rPr>
        <vertAlign val="subscript"/>
        <sz val="10"/>
        <rFont val="Arial"/>
        <family val="2"/>
      </rPr>
      <t>Motor</t>
    </r>
  </si>
  <si>
    <t>Leerlauf</t>
  </si>
  <si>
    <r>
      <t>I</t>
    </r>
    <r>
      <rPr>
        <vertAlign val="subscript"/>
        <sz val="10"/>
        <rFont val="Courier New"/>
        <family val="3"/>
      </rPr>
      <t>Leer</t>
    </r>
  </si>
  <si>
    <r>
      <t>V</t>
    </r>
    <r>
      <rPr>
        <vertAlign val="subscript"/>
        <sz val="10"/>
        <rFont val="Courier New"/>
        <family val="3"/>
      </rPr>
      <t>EMK_Leer</t>
    </r>
  </si>
  <si>
    <r>
      <t>n</t>
    </r>
    <r>
      <rPr>
        <vertAlign val="subscript"/>
        <sz val="10"/>
        <rFont val="Courier New"/>
        <family val="3"/>
      </rPr>
      <t>Leer</t>
    </r>
  </si>
  <si>
    <r>
      <t>P</t>
    </r>
    <r>
      <rPr>
        <vertAlign val="subscript"/>
        <sz val="10"/>
        <rFont val="Courier New"/>
        <family val="3"/>
      </rPr>
      <t>elek_Leer</t>
    </r>
  </si>
  <si>
    <t>max. Effizienz</t>
  </si>
  <si>
    <r>
      <t>I</t>
    </r>
    <r>
      <rPr>
        <vertAlign val="subscript"/>
        <sz val="10"/>
        <rFont val="Courier New"/>
        <family val="3"/>
      </rPr>
      <t>Opt</t>
    </r>
  </si>
  <si>
    <r>
      <t>V</t>
    </r>
    <r>
      <rPr>
        <vertAlign val="subscript"/>
        <sz val="10"/>
        <rFont val="Courier New"/>
        <family val="3"/>
      </rPr>
      <t>EMK_Opt</t>
    </r>
  </si>
  <si>
    <r>
      <t>n</t>
    </r>
    <r>
      <rPr>
        <vertAlign val="subscript"/>
        <sz val="10"/>
        <rFont val="Courier New"/>
        <family val="3"/>
      </rPr>
      <t>Opt</t>
    </r>
  </si>
  <si>
    <r>
      <t>M</t>
    </r>
    <r>
      <rPr>
        <vertAlign val="subscript"/>
        <sz val="10"/>
        <rFont val="Courier New"/>
        <family val="3"/>
      </rPr>
      <t>Opt</t>
    </r>
  </si>
  <si>
    <r>
      <t>P</t>
    </r>
    <r>
      <rPr>
        <vertAlign val="subscript"/>
        <sz val="10"/>
        <rFont val="Courier New"/>
        <family val="3"/>
      </rPr>
      <t>mech_Opt</t>
    </r>
  </si>
  <si>
    <r>
      <rPr>
        <sz val="10"/>
        <rFont val="Symbol"/>
        <family val="1"/>
      </rPr>
      <t>h</t>
    </r>
    <r>
      <rPr>
        <vertAlign val="subscript"/>
        <sz val="10"/>
        <rFont val="Courier New"/>
        <family val="3"/>
      </rPr>
      <t>Opt</t>
    </r>
  </si>
  <si>
    <t>max. Leistung</t>
  </si>
  <si>
    <r>
      <t>I</t>
    </r>
    <r>
      <rPr>
        <vertAlign val="subscript"/>
        <sz val="10"/>
        <rFont val="Courier New"/>
        <family val="3"/>
      </rPr>
      <t>max</t>
    </r>
  </si>
  <si>
    <r>
      <t>V</t>
    </r>
    <r>
      <rPr>
        <vertAlign val="subscript"/>
        <sz val="10"/>
        <rFont val="Courier New"/>
        <family val="3"/>
      </rPr>
      <t>EMK_Max</t>
    </r>
  </si>
  <si>
    <r>
      <t>n</t>
    </r>
    <r>
      <rPr>
        <vertAlign val="subscript"/>
        <sz val="10"/>
        <rFont val="Courier New"/>
        <family val="3"/>
      </rPr>
      <t>Max</t>
    </r>
  </si>
  <si>
    <r>
      <t>M</t>
    </r>
    <r>
      <rPr>
        <vertAlign val="subscript"/>
        <sz val="10"/>
        <rFont val="Courier New"/>
        <family val="3"/>
      </rPr>
      <t>max</t>
    </r>
  </si>
  <si>
    <r>
      <t>P</t>
    </r>
    <r>
      <rPr>
        <vertAlign val="subscript"/>
        <sz val="10"/>
        <rFont val="Courier New"/>
        <family val="3"/>
      </rPr>
      <t>Mech_Max</t>
    </r>
  </si>
  <si>
    <r>
      <rPr>
        <sz val="10"/>
        <rFont val="Symbol"/>
        <family val="1"/>
      </rPr>
      <t>h</t>
    </r>
    <r>
      <rPr>
        <vertAlign val="subscript"/>
        <sz val="10"/>
        <rFont val="Courier New"/>
        <family val="3"/>
      </rPr>
      <t>Max</t>
    </r>
  </si>
  <si>
    <t>Stillstand</t>
  </si>
  <si>
    <r>
      <t>M</t>
    </r>
    <r>
      <rPr>
        <vertAlign val="subscript"/>
        <sz val="10"/>
        <rFont val="Courier New"/>
        <family val="3"/>
      </rPr>
      <t>Stop_AP</t>
    </r>
  </si>
  <si>
    <r>
      <t>I</t>
    </r>
    <r>
      <rPr>
        <vertAlign val="subscript"/>
        <sz val="10"/>
        <rFont val="Courier New"/>
        <family val="3"/>
      </rPr>
      <t>Stop_AP</t>
    </r>
  </si>
  <si>
    <t>Welche Daten genau haben die ft-Motoren?</t>
  </si>
  <si>
    <t>http://www.fischertechnik.de/desktopdefault.aspx/tabid-51/68_read-12/usetemplate-1_column_no_pano/</t>
  </si>
  <si>
    <t>35481 Power Motor 8:1, Leerlaufdrehzahl: ca. 725 U./min., maximale Stromaufnahme: ca. 1 A, max. Drehmoment:ca. 9,5 Ncm</t>
  </si>
  <si>
    <t>#34965:</t>
  </si>
  <si>
    <t>2,4W</t>
  </si>
  <si>
    <t>104589 Power Motor 20:1, Leerlaufdrehzahl: ca. 290 U./min., maximale Stromaufnahme: ca. 1 A, max. Drehmoment:ca. 24 Ncm</t>
  </si>
  <si>
    <t>104574 Power Motor 50:1, Leerlaufdrehzahl: ca. 115 U./min, maximale Stromaufnahme: ca. 1 A, max. Drehmoment:ca. 60 Ncm</t>
  </si>
  <si>
    <t>32293 Mini Motor, Leerlaufdrehzahl: ca. 9.500 U/min, Maximale Stromaufnahme: 0,65 A, max. Drehmoment:ca. 0,4 Ncm</t>
  </si>
  <si>
    <t>#30342:</t>
  </si>
  <si>
    <t>1,1W</t>
  </si>
  <si>
    <t>135485 XM Motor, Daten bei maximaler Leistung, Drehzahl: 338 U/min, Stromaufnahme: 0,95 A, Drehmoment: 8,4 Ncm</t>
  </si>
  <si>
    <t>137096 XS Motor, Daten bei maximaler Leistung, Drehzahl: 5995 U/min, Stromaufnahme: 0,265 A, Drehmoment: 0,15 Ncm</t>
  </si>
  <si>
    <t>135484 Encodermotor, Daten bei maximaler Leistung, Drehzahl: 173,5 U/min, Stromaufnahme: 0,465 A, Drehmoment: 6 Ncm</t>
  </si>
  <si>
    <t>Die Daten aus eigenen Meßreihen:</t>
  </si>
  <si>
    <t>Motor mit Getriebe (sofern Getriebemotor, sonst Motor ohne Getriebe)</t>
  </si>
  <si>
    <t>Motor ohne Getriebe</t>
  </si>
  <si>
    <t>Kommentar</t>
  </si>
  <si>
    <t>#</t>
  </si>
  <si>
    <t>Bez.</t>
  </si>
  <si>
    <r>
      <t>n</t>
    </r>
    <r>
      <rPr>
        <b/>
        <vertAlign val="subscript"/>
        <sz val="11"/>
        <color indexed="8"/>
        <rFont val="Calibri"/>
        <family val="2"/>
      </rPr>
      <t>Leer</t>
    </r>
  </si>
  <si>
    <r>
      <t>U</t>
    </r>
    <r>
      <rPr>
        <b/>
        <vertAlign val="subscript"/>
        <sz val="11"/>
        <color indexed="8"/>
        <rFont val="Calibri"/>
        <family val="2"/>
      </rPr>
      <t>nenn</t>
    </r>
  </si>
  <si>
    <r>
      <t>I</t>
    </r>
    <r>
      <rPr>
        <b/>
        <vertAlign val="subscript"/>
        <sz val="11"/>
        <color indexed="8"/>
        <rFont val="Calibri"/>
        <family val="2"/>
      </rPr>
      <t>nenn</t>
    </r>
  </si>
  <si>
    <r>
      <t>n</t>
    </r>
    <r>
      <rPr>
        <b/>
        <vertAlign val="subscript"/>
        <sz val="11"/>
        <color indexed="8"/>
        <rFont val="Calibri"/>
        <family val="2"/>
      </rPr>
      <t>Nenn</t>
    </r>
  </si>
  <si>
    <r>
      <t>M</t>
    </r>
    <r>
      <rPr>
        <b/>
        <vertAlign val="subscript"/>
        <sz val="11"/>
        <color indexed="8"/>
        <rFont val="Calibri"/>
        <family val="2"/>
      </rPr>
      <t>nenn</t>
    </r>
  </si>
  <si>
    <t>Ü</t>
  </si>
  <si>
    <r>
      <t>P</t>
    </r>
    <r>
      <rPr>
        <vertAlign val="subscript"/>
        <sz val="11"/>
        <color indexed="8"/>
        <rFont val="Calibri"/>
        <family val="2"/>
      </rPr>
      <t>elek</t>
    </r>
  </si>
  <si>
    <r>
      <t>P</t>
    </r>
    <r>
      <rPr>
        <vertAlign val="subscript"/>
        <sz val="11"/>
        <color indexed="8"/>
        <rFont val="Calibri"/>
        <family val="2"/>
      </rPr>
      <t>mech</t>
    </r>
  </si>
  <si>
    <r>
      <t>h</t>
    </r>
    <r>
      <rPr>
        <b/>
        <vertAlign val="subscript"/>
        <sz val="10"/>
        <rFont val="Arial"/>
        <family val="2"/>
      </rPr>
      <t>Gesamt</t>
    </r>
  </si>
  <si>
    <r>
      <t>h</t>
    </r>
    <r>
      <rPr>
        <b/>
        <vertAlign val="subscript"/>
        <sz val="10"/>
        <rFont val="Arial"/>
        <family val="2"/>
      </rPr>
      <t>Motor</t>
    </r>
  </si>
  <si>
    <r>
      <rPr>
        <b/>
        <sz val="11"/>
        <color indexed="8"/>
        <rFont val="Calibri"/>
        <family val="2"/>
      </rPr>
      <t>min</t>
    </r>
    <r>
      <rPr>
        <b/>
        <vertAlign val="superscript"/>
        <sz val="11"/>
        <color indexed="8"/>
        <rFont val="Calibri"/>
        <family val="2"/>
      </rPr>
      <t>-1</t>
    </r>
  </si>
  <si>
    <t>Ncm</t>
  </si>
  <si>
    <t>:1</t>
  </si>
  <si>
    <t>ft 35481</t>
  </si>
  <si>
    <t>Power-Motor (m. Getr.)</t>
  </si>
  <si>
    <t>Messungen</t>
  </si>
  <si>
    <t>ft 104589</t>
  </si>
  <si>
    <t>ft 104574</t>
  </si>
  <si>
    <t>ft 32293</t>
  </si>
  <si>
    <t>Mini-Motor</t>
  </si>
  <si>
    <t>ft 32293 + ft 31078</t>
  </si>
  <si>
    <t>Mini-Motor + U-Getriebe</t>
  </si>
  <si>
    <t>ft 135485</t>
  </si>
  <si>
    <t>XM-Motor</t>
  </si>
  <si>
    <t>ft 137096</t>
  </si>
  <si>
    <t>XS-Motor</t>
  </si>
  <si>
    <t>ft 135484</t>
  </si>
  <si>
    <t>Encodermotor</t>
  </si>
  <si>
    <t>Diese Seite muß für jeden Motor ausgefüllt werden &lt;=</t>
  </si>
  <si>
    <r>
      <t>K</t>
    </r>
    <r>
      <rPr>
        <b/>
        <vertAlign val="subscript"/>
        <sz val="10"/>
        <rFont val="Courier New"/>
        <family val="3"/>
      </rPr>
      <t>U</t>
    </r>
  </si>
  <si>
    <r>
      <t>K</t>
    </r>
    <r>
      <rPr>
        <b/>
        <vertAlign val="subscript"/>
        <sz val="10"/>
        <rFont val="Courier New"/>
        <family val="3"/>
      </rPr>
      <t>I</t>
    </r>
  </si>
  <si>
    <r>
      <t>R</t>
    </r>
    <r>
      <rPr>
        <b/>
        <vertAlign val="subscript"/>
        <sz val="10"/>
        <rFont val="Courier New"/>
        <family val="3"/>
      </rPr>
      <t>i</t>
    </r>
  </si>
  <si>
    <r>
      <t>M</t>
    </r>
    <r>
      <rPr>
        <b/>
        <vertAlign val="subscript"/>
        <sz val="10"/>
        <rFont val="Courier New"/>
        <family val="3"/>
      </rPr>
      <t>Lager</t>
    </r>
  </si>
  <si>
    <r>
      <rPr>
        <b/>
        <sz val="10"/>
        <rFont val="Symbol"/>
        <family val="1"/>
      </rPr>
      <t>h</t>
    </r>
    <r>
      <rPr>
        <b/>
        <vertAlign val="subscript"/>
        <sz val="10"/>
        <rFont val="Arial"/>
        <family val="2"/>
      </rPr>
      <t>Getriebe</t>
    </r>
  </si>
  <si>
    <r>
      <t>V/min</t>
    </r>
    <r>
      <rPr>
        <b/>
        <vertAlign val="superscript"/>
        <sz val="10"/>
        <rFont val="Courier New"/>
        <family val="3"/>
      </rPr>
      <t>-1</t>
    </r>
  </si>
  <si>
    <r>
      <t>U</t>
    </r>
    <r>
      <rPr>
        <b/>
        <vertAlign val="subscript"/>
        <sz val="11"/>
        <color indexed="8"/>
        <rFont val="Calibri"/>
        <family val="2"/>
      </rPr>
      <t>Motor</t>
    </r>
  </si>
  <si>
    <r>
      <t>I</t>
    </r>
    <r>
      <rPr>
        <b/>
        <vertAlign val="subscript"/>
        <sz val="11"/>
        <color indexed="8"/>
        <rFont val="Calibri"/>
        <family val="2"/>
      </rPr>
      <t>Leer</t>
    </r>
  </si>
  <si>
    <r>
      <t>n</t>
    </r>
    <r>
      <rPr>
        <b/>
        <vertAlign val="subscript"/>
        <sz val="11"/>
        <color indexed="8"/>
        <rFont val="Calibri"/>
        <family val="2"/>
      </rPr>
      <t>Opt</t>
    </r>
  </si>
  <si>
    <r>
      <t>M</t>
    </r>
    <r>
      <rPr>
        <b/>
        <vertAlign val="subscript"/>
        <sz val="11"/>
        <color indexed="8"/>
        <rFont val="Calibri"/>
        <family val="2"/>
      </rPr>
      <t>Opt</t>
    </r>
  </si>
  <si>
    <r>
      <t>I</t>
    </r>
    <r>
      <rPr>
        <b/>
        <vertAlign val="subscript"/>
        <sz val="11"/>
        <color indexed="8"/>
        <rFont val="Calibri"/>
        <family val="2"/>
      </rPr>
      <t>Opt</t>
    </r>
  </si>
  <si>
    <r>
      <t>h</t>
    </r>
    <r>
      <rPr>
        <b/>
        <vertAlign val="subscript"/>
        <sz val="10"/>
        <rFont val="Arial"/>
        <family val="2"/>
      </rPr>
      <t>Opt</t>
    </r>
  </si>
  <si>
    <r>
      <t>n</t>
    </r>
    <r>
      <rPr>
        <b/>
        <vertAlign val="subscript"/>
        <sz val="11"/>
        <color indexed="8"/>
        <rFont val="Calibri"/>
        <family val="2"/>
      </rPr>
      <t>Max</t>
    </r>
  </si>
  <si>
    <r>
      <t>M</t>
    </r>
    <r>
      <rPr>
        <b/>
        <vertAlign val="subscript"/>
        <sz val="11"/>
        <color indexed="8"/>
        <rFont val="Calibri"/>
        <family val="2"/>
      </rPr>
      <t>Max</t>
    </r>
  </si>
  <si>
    <r>
      <t>I</t>
    </r>
    <r>
      <rPr>
        <b/>
        <vertAlign val="subscript"/>
        <sz val="11"/>
        <color indexed="8"/>
        <rFont val="Calibri"/>
        <family val="2"/>
      </rPr>
      <t>Max</t>
    </r>
  </si>
  <si>
    <r>
      <t>h</t>
    </r>
    <r>
      <rPr>
        <b/>
        <vertAlign val="subscript"/>
        <sz val="10"/>
        <rFont val="Arial"/>
        <family val="2"/>
      </rPr>
      <t>Max</t>
    </r>
  </si>
  <si>
    <t>© 2013, René Trapp</t>
  </si>
  <si>
    <t>Die Motormodellparameter:</t>
  </si>
  <si>
    <t>Der Motor-Vergleichsrechner:</t>
  </si>
  <si>
    <t>Die Daten werden aus den Motormodellparametern für die angegebene Motorspannung berechnet.</t>
  </si>
  <si>
    <t>Diese Tabelle muß für jeden Motor ausgefüllt werden damit der Motor-Vergleichsrechner funktioniert.</t>
  </si>
  <si>
    <t>Motor-Vergleichsrechner © 2013, René Trapp</t>
  </si>
  <si>
    <t>Lizenzbedingungen:</t>
  </si>
  <si>
    <t>[1]</t>
  </si>
  <si>
    <t>[2]</t>
  </si>
  <si>
    <t>Um versehentliches / unbemerktes Überschreiben von Inhalten zu verhindern ist dieses Sheet geschützt. Es sind nur die Zellen erreichbar, die für Eingaben vorgesehen sind.
Für individuelle Anpassungen wird empfohlen eine Kopie dieses Sheets anzulegen, zu entsperren und dann zu verändern. Ein Passwort ist zum Entsperren nicht erforderlich.</t>
  </si>
  <si>
    <t>Kenndaten von ft- Motoren, René Trapp, ft:pedia Heft 3 / 2013</t>
  </si>
  <si>
    <t>ft-community - Motor-Vergleichsrechner, René Trapp</t>
  </si>
  <si>
    <t>Siehe auch</t>
  </si>
  <si>
    <t>Quelle:</t>
  </si>
  <si>
    <t>Haftungsausschluß:
(muß leider sein)</t>
  </si>
  <si>
    <t>Die private und gewerbliche Nutzung dieses Motor-Vergleichsrechners unterliegt keinerlei Einschränkungen. Die Nutzung zu Ausbildungs- und Lehrzwecken ist ausdrücklich erwünscht. Lizenzgebühren sind nicht zu entrichten. Jegliche, auf Erzielung eines Gewinnes ausgerichtete, Verwertung muß vom Autor schriftlich genehmigt werden.
Der Motordaten-Vergleichsrechner ergänzt den ft:pedia-Beitrag "Kenndaten der ft-Motoren" aus Heft 3/2013 [1]. Bei Veröffentlichungen individuell angepaßter Versionen muß stets die URL zur betreffenden ft-pedia angegeben sein [1]. Der jeweilige neue Autor bringt ebenso einen Hinweis auf diese Originaldatei an [2]. Der jeweilige neue Autor macht deutlich, daß Rückfragen zu seiner Schöpfung an ihn zu richten sind.</t>
  </si>
  <si>
    <t>=&gt; Diese Seite wird berechnet (ausser dem Kommentarfeld)</t>
  </si>
  <si>
    <t>Der Autor hat den Motor-Vergleichsrechner sorgfältig erstellt und mehrfach auf korrekte Funktion überprüft. Mit sinnvollen Werten für die Motormodellparameter wird sich ein sinnvolles Ergebnis des Vergleiches einstellen. Die im Original eingetragenen Parameter für einige Motoren aus dem Fischertechnik Programm basieren auf Messungen jeweils eines einzelnen Exemplares und stellen daher keine typischen Werte dar; explizit sind sie keine zugesicherten Eigenschaften für eine Motorbaureihe! Der Benutzer des Motor-Vergleichsrechners ist sich dieser Tatsache bewußt.
Der Benutzer des Motor-Vergleichsrechners ist sich ebenfalls darüber im Klaren, daß es sich bei allen technischen Daten um toleranzbehaftete Werte handelt. Die Toleranzen hängen von der Qualität der Motormodellparameter ab. Fertigungsbedingte Toleranzen einzelner Exemplare können deutlich von typischen Werten abweichen.
Der Motor-Vergleichsrechner kommt ohne Hintergrund-Programme - Macros - aus. Das Öffnen der Datei im Modus "Macros deaktiviert" wird strikt empfohlen.
Durch unsachgemäßen Umgang mit der Datei oder deren Inhalten verursachte Schäden können dem Autor nicht angelastet werden.
Durch eventuellen Virenbefall der heruntergeladenen Datei verursachte Schäden können dem Autor nicht angelastet werden.</t>
  </si>
  <si>
    <t>Anleitung:</t>
  </si>
  <si>
    <t>Kopie erstellen!</t>
  </si>
  <si>
    <t>Liegen die Motormodellparameter vor?</t>
  </si>
  <si>
    <t>Ja:</t>
  </si>
  <si>
    <t>Motormodellparameter eintragen (Formeln werden überschrieben)</t>
  </si>
  <si>
    <t>Nein:</t>
  </si>
  <si>
    <t>Arbeitspunktdaten löschen (sieht nicht nur besser aus)</t>
  </si>
  <si>
    <t>Arbeitspunktdaten eintragen</t>
  </si>
  <si>
    <t>Gewünschte Motorspannung eintragen</t>
  </si>
  <si>
    <t>Fertig</t>
  </si>
  <si>
    <t>(Leerlauf ist auch ein möglicher Arbeitspunkt…)</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</si>
</sst>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000"/>
    <numFmt numFmtId="176" formatCode="#.#00"/>
  </numFmts>
  <fonts count="45">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Courier New"/>
      <family val="3"/>
    </font>
    <font>
      <b/>
      <sz val="16"/>
      <name val="Courier New"/>
      <family val="3"/>
    </font>
    <font>
      <vertAlign val="subscript"/>
      <sz val="10"/>
      <name val="Courier New"/>
      <family val="3"/>
    </font>
    <font>
      <sz val="10"/>
      <color indexed="12"/>
      <name val="Courier New"/>
      <family val="3"/>
    </font>
    <font>
      <b/>
      <sz val="10"/>
      <name val="Courier New"/>
      <family val="3"/>
    </font>
    <font>
      <sz val="10"/>
      <name val="Calibri"/>
      <family val="2"/>
    </font>
    <font>
      <sz val="10"/>
      <name val="Symbol"/>
      <family val="1"/>
    </font>
    <font>
      <vertAlign val="superscript"/>
      <sz val="10"/>
      <name val="Courier New"/>
      <family val="3"/>
    </font>
    <font>
      <sz val="10"/>
      <color indexed="22"/>
      <name val="Courier New"/>
      <family val="3"/>
    </font>
    <font>
      <vertAlign val="subscript"/>
      <sz val="10"/>
      <name val="Arial"/>
      <family val="2"/>
    </font>
    <font>
      <u val="single"/>
      <sz val="10"/>
      <color indexed="12"/>
      <name val="Arial"/>
      <family val="2"/>
    </font>
    <font>
      <b/>
      <vertAlign val="subscript"/>
      <sz val="11"/>
      <color indexed="8"/>
      <name val="Calibri"/>
      <family val="2"/>
    </font>
    <font>
      <b/>
      <sz val="10"/>
      <name val="Arial"/>
      <family val="2"/>
    </font>
    <font>
      <b/>
      <sz val="10"/>
      <name val="Symbol"/>
      <family val="1"/>
    </font>
    <font>
      <b/>
      <vertAlign val="subscript"/>
      <sz val="10"/>
      <name val="Arial"/>
      <family val="2"/>
    </font>
    <font>
      <vertAlign val="subscript"/>
      <sz val="11"/>
      <color indexed="8"/>
      <name val="Calibri"/>
      <family val="2"/>
    </font>
    <font>
      <b/>
      <vertAlign val="superscript"/>
      <sz val="11"/>
      <color indexed="8"/>
      <name val="Calibri"/>
      <family val="2"/>
    </font>
    <font>
      <sz val="11"/>
      <color indexed="55"/>
      <name val="Calibri"/>
      <family val="2"/>
    </font>
    <font>
      <b/>
      <vertAlign val="subscript"/>
      <sz val="10"/>
      <name val="Courier New"/>
      <family val="3"/>
    </font>
    <font>
      <b/>
      <vertAlign val="superscript"/>
      <sz val="10"/>
      <name val="Courier New"/>
      <family val="3"/>
    </font>
    <font>
      <sz val="10"/>
      <color indexed="8"/>
      <name val="Calibri"/>
      <family val="2"/>
    </font>
    <font>
      <b/>
      <sz val="10"/>
      <color indexed="8"/>
      <name val="Calibri"/>
      <family val="2"/>
    </font>
    <font>
      <b/>
      <sz val="10"/>
      <color indexed="8"/>
      <name val="Symbol"/>
      <family val="1"/>
    </font>
    <font>
      <b/>
      <sz val="12"/>
      <color indexed="8"/>
      <name val="Calibri"/>
      <family val="2"/>
    </font>
    <font>
      <u val="single"/>
      <sz val="8.8"/>
      <color indexed="20"/>
      <name val="Calibri"/>
      <family val="2"/>
    </font>
    <font>
      <sz val="11"/>
      <name val="Calibri"/>
      <family val="2"/>
    </font>
    <font>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
      <patternFill patternType="solid">
        <fgColor indexed="40"/>
        <bgColor indexed="64"/>
      </patternFill>
    </fill>
  </fills>
  <borders count="8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thin"/>
      <right style="mediumDashed"/>
      <top>
        <color indexed="63"/>
      </top>
      <bottom>
        <color indexed="63"/>
      </bottom>
    </border>
    <border>
      <left style="mediumDashed"/>
      <right style="thin"/>
      <top>
        <color indexed="63"/>
      </top>
      <bottom>
        <color indexed="63"/>
      </bottom>
    </border>
    <border>
      <left style="thin"/>
      <right>
        <color indexed="63"/>
      </right>
      <top>
        <color indexed="63"/>
      </top>
      <bottom style="medium"/>
    </border>
    <border>
      <left style="thin"/>
      <right style="mediumDashed"/>
      <top>
        <color indexed="63"/>
      </top>
      <bottom style="medium"/>
    </border>
    <border>
      <left style="mediumDashed"/>
      <right style="thin"/>
      <top>
        <color indexed="63"/>
      </top>
      <bottom style="medium"/>
    </border>
    <border>
      <left style="medium"/>
      <right style="thin"/>
      <top>
        <color indexed="63"/>
      </top>
      <bottom style="thin"/>
    </border>
    <border>
      <left style="thin"/>
      <right style="thin"/>
      <top>
        <color indexed="63"/>
      </top>
      <bottom style="thin"/>
    </border>
    <border>
      <left style="thin"/>
      <right style="mediumDashed"/>
      <top>
        <color indexed="63"/>
      </top>
      <bottom style="thin"/>
    </border>
    <border>
      <left style="mediumDashed"/>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Dashed"/>
      <top style="thin"/>
      <bottom style="thin"/>
    </border>
    <border>
      <left style="mediumDashed"/>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Dashed"/>
      <top style="thin"/>
      <bottom style="medium"/>
    </border>
    <border>
      <left style="mediumDashed"/>
      <right style="thin"/>
      <top style="thin"/>
      <bottom style="medium"/>
    </border>
    <border>
      <left style="thin"/>
      <right style="medium"/>
      <top style="thin"/>
      <bottom style="medium"/>
    </border>
    <border>
      <left>
        <color indexed="63"/>
      </left>
      <right style="mediumDashed"/>
      <top style="medium"/>
      <bottom>
        <color indexed="63"/>
      </bottom>
    </border>
    <border>
      <left style="mediumDashed"/>
      <right>
        <color indexed="63"/>
      </right>
      <top style="medium"/>
      <bottom>
        <color indexed="63"/>
      </bottom>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thin">
        <color indexed="40"/>
      </top>
      <bottom>
        <color indexed="63"/>
      </bottom>
    </border>
    <border>
      <left style="thin"/>
      <right>
        <color indexed="63"/>
      </right>
      <top>
        <color indexed="63"/>
      </top>
      <bottom style="thin"/>
    </border>
    <border>
      <left style="medium"/>
      <right style="thin"/>
      <top style="medium"/>
      <bottom style="thin"/>
    </border>
    <border>
      <left style="thin"/>
      <right>
        <color indexed="63"/>
      </right>
      <top style="thin"/>
      <bottom style="thin"/>
    </border>
    <border>
      <left style="thin"/>
      <right>
        <color indexed="63"/>
      </right>
      <top style="thin"/>
      <bottom style="mediu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0" fontId="42" fillId="0" borderId="0" applyNumberFormat="0" applyFill="0" applyBorder="0" applyAlignment="0" applyProtection="0"/>
    <xf numFmtId="0" fontId="10" fillId="20" borderId="1" applyNumberFormat="0" applyAlignment="0" applyProtection="0"/>
    <xf numFmtId="0" fontId="12"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0" fontId="5"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28" fillId="0" borderId="0" applyNumberFormat="0" applyFill="0" applyBorder="0" applyAlignment="0" applyProtection="0"/>
    <xf numFmtId="0" fontId="8" fillId="7" borderId="1" applyNumberFormat="0" applyAlignment="0" applyProtection="0"/>
    <xf numFmtId="0" fontId="11" fillId="0" borderId="6" applyNumberFormat="0" applyFill="0" applyAlignment="0" applyProtection="0"/>
    <xf numFmtId="0" fontId="7" fillId="22" borderId="0" applyNumberFormat="0" applyBorder="0" applyAlignment="0" applyProtection="0"/>
    <xf numFmtId="0" fontId="17" fillId="0" borderId="0">
      <alignment/>
      <protection/>
    </xf>
    <xf numFmtId="0" fontId="0" fillId="0" borderId="0">
      <alignment/>
      <protection/>
    </xf>
    <xf numFmtId="0" fontId="0" fillId="23" borderId="7" applyNumberFormat="0" applyFont="0" applyAlignment="0" applyProtection="0"/>
    <xf numFmtId="0" fontId="9" fillId="20" borderId="8" applyNumberFormat="0" applyAlignment="0" applyProtection="0"/>
    <xf numFmtId="9" fontId="0" fillId="0" borderId="0" applyFont="0" applyFill="0" applyBorder="0" applyAlignment="0" applyProtection="0"/>
    <xf numFmtId="0" fontId="17" fillId="0" borderId="0">
      <alignment/>
      <protection/>
    </xf>
    <xf numFmtId="0" fontId="1" fillId="0" borderId="0" applyNumberFormat="0" applyFill="0" applyBorder="0" applyAlignment="0" applyProtection="0"/>
    <xf numFmtId="0" fontId="15"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0" applyNumberFormat="0" applyFill="0" applyBorder="0" applyAlignment="0" applyProtection="0"/>
  </cellStyleXfs>
  <cellXfs count="289">
    <xf numFmtId="0" fontId="0" fillId="0" borderId="0" xfId="0" applyAlignment="1">
      <alignment/>
    </xf>
    <xf numFmtId="0" fontId="18" fillId="20" borderId="0" xfId="60" applyFont="1" applyFill="1">
      <alignment/>
      <protection/>
    </xf>
    <xf numFmtId="0" fontId="18" fillId="0" borderId="10" xfId="55" applyFont="1" applyFill="1" applyBorder="1" applyAlignment="1">
      <alignment horizontal="right"/>
      <protection/>
    </xf>
    <xf numFmtId="0" fontId="21" fillId="0" borderId="11" xfId="55" applyNumberFormat="1" applyFont="1" applyFill="1" applyBorder="1">
      <alignment/>
      <protection/>
    </xf>
    <xf numFmtId="0" fontId="18" fillId="0" borderId="12" xfId="55" applyFont="1" applyFill="1" applyBorder="1">
      <alignment/>
      <protection/>
    </xf>
    <xf numFmtId="0" fontId="18" fillId="0" borderId="13" xfId="60" applyFont="1" applyFill="1" applyBorder="1">
      <alignment/>
      <protection/>
    </xf>
    <xf numFmtId="0" fontId="23" fillId="0" borderId="14" xfId="60" applyFont="1" applyFill="1" applyBorder="1" applyAlignment="1">
      <alignment horizontal="center"/>
      <protection/>
    </xf>
    <xf numFmtId="0" fontId="18" fillId="0" borderId="15" xfId="60" applyFont="1" applyFill="1" applyBorder="1" applyAlignment="1">
      <alignment horizontal="center"/>
      <protection/>
    </xf>
    <xf numFmtId="0" fontId="18" fillId="0" borderId="16" xfId="60" applyFont="1" applyFill="1" applyBorder="1" applyAlignment="1">
      <alignment horizontal="center"/>
      <protection/>
    </xf>
    <xf numFmtId="0" fontId="24" fillId="0" borderId="17" xfId="60" applyFont="1" applyFill="1" applyBorder="1" applyAlignment="1">
      <alignment horizontal="center"/>
      <protection/>
    </xf>
    <xf numFmtId="0" fontId="18" fillId="0" borderId="18" xfId="60" applyFont="1" applyFill="1" applyBorder="1">
      <alignment/>
      <protection/>
    </xf>
    <xf numFmtId="0" fontId="18" fillId="0" borderId="19" xfId="55" applyFont="1" applyFill="1" applyBorder="1" applyAlignment="1">
      <alignment horizontal="right"/>
      <protection/>
    </xf>
    <xf numFmtId="0" fontId="21" fillId="0" borderId="0" xfId="55" applyNumberFormat="1" applyFont="1" applyFill="1" applyBorder="1">
      <alignment/>
      <protection/>
    </xf>
    <xf numFmtId="0" fontId="18" fillId="0" borderId="20" xfId="55" applyFont="1" applyFill="1" applyBorder="1">
      <alignment/>
      <protection/>
    </xf>
    <xf numFmtId="0" fontId="18" fillId="0" borderId="21" xfId="60" applyFont="1" applyFill="1" applyBorder="1" applyAlignment="1">
      <alignment horizontal="center"/>
      <protection/>
    </xf>
    <xf numFmtId="0" fontId="18" fillId="0" borderId="22" xfId="60" applyFont="1" applyFill="1" applyBorder="1" applyAlignment="1">
      <alignment horizontal="center"/>
      <protection/>
    </xf>
    <xf numFmtId="0" fontId="18" fillId="0" borderId="23" xfId="60" applyFont="1" applyFill="1" applyBorder="1" applyAlignment="1">
      <alignment horizontal="center"/>
      <protection/>
    </xf>
    <xf numFmtId="0" fontId="18" fillId="8" borderId="24" xfId="60" applyNumberFormat="1" applyFont="1" applyFill="1" applyBorder="1">
      <alignment/>
      <protection/>
    </xf>
    <xf numFmtId="172" fontId="18" fillId="8" borderId="25" xfId="60" applyNumberFormat="1" applyFont="1" applyFill="1" applyBorder="1">
      <alignment/>
      <protection/>
    </xf>
    <xf numFmtId="1" fontId="18" fillId="8" borderId="25" xfId="60" applyNumberFormat="1" applyFont="1" applyFill="1" applyBorder="1" applyAlignment="1">
      <alignment/>
      <protection/>
    </xf>
    <xf numFmtId="173" fontId="18" fillId="8" borderId="25" xfId="60" applyNumberFormat="1" applyFont="1" applyFill="1" applyBorder="1">
      <alignment/>
      <protection/>
    </xf>
    <xf numFmtId="2" fontId="18" fillId="8" borderId="25" xfId="60" applyNumberFormat="1" applyFont="1" applyFill="1" applyBorder="1" applyAlignment="1">
      <alignment/>
      <protection/>
    </xf>
    <xf numFmtId="174" fontId="18" fillId="8" borderId="25" xfId="60" applyNumberFormat="1" applyFont="1" applyFill="1" applyBorder="1" applyAlignment="1">
      <alignment horizontal="right"/>
      <protection/>
    </xf>
    <xf numFmtId="2" fontId="18" fillId="8" borderId="26" xfId="60" applyNumberFormat="1" applyFont="1" applyFill="1" applyBorder="1" applyAlignment="1">
      <alignment/>
      <protection/>
    </xf>
    <xf numFmtId="0" fontId="26" fillId="20" borderId="0" xfId="60" applyFont="1" applyFill="1">
      <alignment/>
      <protection/>
    </xf>
    <xf numFmtId="0" fontId="18" fillId="24" borderId="14" xfId="60" applyNumberFormat="1" applyFont="1" applyFill="1" applyBorder="1">
      <alignment/>
      <protection/>
    </xf>
    <xf numFmtId="172" fontId="18" fillId="24" borderId="15" xfId="60" applyNumberFormat="1" applyFont="1" applyFill="1" applyBorder="1">
      <alignment/>
      <protection/>
    </xf>
    <xf numFmtId="1" fontId="18" fillId="24" borderId="15" xfId="60" applyNumberFormat="1" applyFont="1" applyFill="1" applyBorder="1" applyAlignment="1">
      <alignment/>
      <protection/>
    </xf>
    <xf numFmtId="173" fontId="18" fillId="24" borderId="15" xfId="60" applyNumberFormat="1" applyFont="1" applyFill="1" applyBorder="1">
      <alignment/>
      <protection/>
    </xf>
    <xf numFmtId="2" fontId="18" fillId="24" borderId="15" xfId="60" applyNumberFormat="1" applyFont="1" applyFill="1" applyBorder="1" applyAlignment="1">
      <alignment/>
      <protection/>
    </xf>
    <xf numFmtId="174" fontId="18" fillId="24" borderId="15" xfId="60" applyNumberFormat="1" applyFont="1" applyFill="1" applyBorder="1" applyAlignment="1">
      <alignment horizontal="right"/>
      <protection/>
    </xf>
    <xf numFmtId="2" fontId="18" fillId="24" borderId="17" xfId="60" applyNumberFormat="1" applyFont="1" applyFill="1" applyBorder="1" applyAlignment="1">
      <alignment/>
      <protection/>
    </xf>
    <xf numFmtId="0" fontId="18" fillId="0" borderId="27" xfId="55" applyFont="1" applyFill="1" applyBorder="1" applyAlignment="1">
      <alignment horizontal="right"/>
      <protection/>
    </xf>
    <xf numFmtId="0" fontId="21" fillId="0" borderId="28" xfId="55" applyNumberFormat="1" applyFont="1" applyFill="1" applyBorder="1">
      <alignment/>
      <protection/>
    </xf>
    <xf numFmtId="0" fontId="18" fillId="0" borderId="29" xfId="55" applyFont="1" applyFill="1" applyBorder="1">
      <alignment/>
      <protection/>
    </xf>
    <xf numFmtId="0" fontId="18" fillId="0" borderId="14" xfId="60" applyNumberFormat="1" applyFont="1" applyFill="1" applyBorder="1">
      <alignment/>
      <protection/>
    </xf>
    <xf numFmtId="172" fontId="18" fillId="0" borderId="15" xfId="60" applyNumberFormat="1" applyFont="1" applyFill="1" applyBorder="1">
      <alignment/>
      <protection/>
    </xf>
    <xf numFmtId="1" fontId="18" fillId="0" borderId="15" xfId="60" applyNumberFormat="1" applyFont="1" applyFill="1" applyBorder="1" applyAlignment="1">
      <alignment/>
      <protection/>
    </xf>
    <xf numFmtId="173" fontId="18" fillId="0" borderId="15" xfId="60" applyNumberFormat="1" applyFont="1" applyFill="1" applyBorder="1">
      <alignment/>
      <protection/>
    </xf>
    <xf numFmtId="2" fontId="18" fillId="0" borderId="15" xfId="60" applyNumberFormat="1" applyFont="1" applyFill="1" applyBorder="1" applyAlignment="1">
      <alignment/>
      <protection/>
    </xf>
    <xf numFmtId="174" fontId="18" fillId="0" borderId="15" xfId="60" applyNumberFormat="1" applyFont="1" applyFill="1" applyBorder="1" applyAlignment="1">
      <alignment horizontal="right"/>
      <protection/>
    </xf>
    <xf numFmtId="2" fontId="18" fillId="0" borderId="17" xfId="60" applyNumberFormat="1" applyFont="1" applyFill="1" applyBorder="1" applyAlignment="1">
      <alignment/>
      <protection/>
    </xf>
    <xf numFmtId="0" fontId="18" fillId="0" borderId="30" xfId="55" applyFont="1" applyFill="1" applyBorder="1" applyAlignment="1">
      <alignment horizontal="right"/>
      <protection/>
    </xf>
    <xf numFmtId="0" fontId="21" fillId="0" borderId="31" xfId="55" applyNumberFormat="1" applyFont="1" applyFill="1" applyBorder="1">
      <alignment/>
      <protection/>
    </xf>
    <xf numFmtId="0" fontId="18" fillId="0" borderId="32" xfId="55" applyFont="1" applyFill="1" applyBorder="1">
      <alignment/>
      <protection/>
    </xf>
    <xf numFmtId="0" fontId="18" fillId="0" borderId="19" xfId="60" applyFont="1" applyFill="1" applyBorder="1" applyAlignment="1">
      <alignment horizontal="right"/>
      <protection/>
    </xf>
    <xf numFmtId="0" fontId="21" fillId="0" borderId="0" xfId="60" applyNumberFormat="1" applyFont="1" applyFill="1" applyBorder="1" applyAlignment="1">
      <alignment horizontal="right"/>
      <protection/>
    </xf>
    <xf numFmtId="0" fontId="18" fillId="0" borderId="20" xfId="60" applyFont="1" applyFill="1" applyBorder="1">
      <alignment/>
      <protection/>
    </xf>
    <xf numFmtId="0" fontId="24" fillId="0" borderId="20" xfId="60" applyFont="1" applyFill="1" applyBorder="1">
      <alignment/>
      <protection/>
    </xf>
    <xf numFmtId="0" fontId="17" fillId="0" borderId="30" xfId="56" applyFont="1" applyFill="1" applyBorder="1" applyAlignment="1">
      <alignment horizontal="right" vertical="center"/>
      <protection/>
    </xf>
    <xf numFmtId="0" fontId="21" fillId="0" borderId="31" xfId="60" applyNumberFormat="1" applyFont="1" applyFill="1" applyBorder="1" applyAlignment="1">
      <alignment horizontal="right"/>
      <protection/>
    </xf>
    <xf numFmtId="0" fontId="0" fillId="0" borderId="32" xfId="56" applyFont="1" applyFill="1" applyBorder="1" applyAlignment="1">
      <alignment horizontal="left" vertical="center"/>
      <protection/>
    </xf>
    <xf numFmtId="0" fontId="18" fillId="0" borderId="30" xfId="60" applyFont="1" applyFill="1" applyBorder="1" applyAlignment="1">
      <alignment horizontal="right"/>
      <protection/>
    </xf>
    <xf numFmtId="0" fontId="18" fillId="0" borderId="32" xfId="60" applyFont="1" applyFill="1" applyBorder="1">
      <alignment/>
      <protection/>
    </xf>
    <xf numFmtId="0" fontId="18" fillId="0" borderId="18" xfId="60" applyFont="1" applyFill="1" applyBorder="1" applyAlignment="1">
      <alignment horizontal="center"/>
      <protection/>
    </xf>
    <xf numFmtId="0" fontId="18" fillId="8" borderId="19" xfId="60" applyFont="1" applyFill="1" applyBorder="1" applyAlignment="1">
      <alignment horizontal="right"/>
      <protection/>
    </xf>
    <xf numFmtId="173" fontId="18" fillId="8" borderId="0" xfId="60" applyNumberFormat="1" applyFont="1" applyFill="1" applyBorder="1" applyAlignment="1">
      <alignment horizontal="right"/>
      <protection/>
    </xf>
    <xf numFmtId="0" fontId="18" fillId="8" borderId="20" xfId="60" applyFont="1" applyFill="1" applyBorder="1">
      <alignment/>
      <protection/>
    </xf>
    <xf numFmtId="0" fontId="18" fillId="22" borderId="14" xfId="60" applyNumberFormat="1" applyFont="1" applyFill="1" applyBorder="1">
      <alignment/>
      <protection/>
    </xf>
    <xf numFmtId="172" fontId="18" fillId="22" borderId="15" xfId="60" applyNumberFormat="1" applyFont="1" applyFill="1" applyBorder="1">
      <alignment/>
      <protection/>
    </xf>
    <xf numFmtId="1" fontId="18" fillId="22" borderId="15" xfId="60" applyNumberFormat="1" applyFont="1" applyFill="1" applyBorder="1" applyAlignment="1">
      <alignment/>
      <protection/>
    </xf>
    <xf numFmtId="173" fontId="18" fillId="22" borderId="15" xfId="60" applyNumberFormat="1" applyFont="1" applyFill="1" applyBorder="1">
      <alignment/>
      <protection/>
    </xf>
    <xf numFmtId="2" fontId="18" fillId="22" borderId="15" xfId="60" applyNumberFormat="1" applyFont="1" applyFill="1" applyBorder="1" applyAlignment="1">
      <alignment/>
      <protection/>
    </xf>
    <xf numFmtId="174" fontId="18" fillId="22" borderId="15" xfId="60" applyNumberFormat="1" applyFont="1" applyFill="1" applyBorder="1" applyAlignment="1">
      <alignment horizontal="right"/>
      <protection/>
    </xf>
    <xf numFmtId="2" fontId="18" fillId="22" borderId="17" xfId="60" applyNumberFormat="1" applyFont="1" applyFill="1" applyBorder="1" applyAlignment="1">
      <alignment/>
      <protection/>
    </xf>
    <xf numFmtId="1" fontId="18" fillId="8" borderId="0" xfId="60" applyNumberFormat="1" applyFont="1" applyFill="1" applyBorder="1" applyAlignment="1">
      <alignment horizontal="right"/>
      <protection/>
    </xf>
    <xf numFmtId="2" fontId="18" fillId="8" borderId="0" xfId="60" applyNumberFormat="1" applyFont="1" applyFill="1" applyBorder="1" applyAlignment="1">
      <alignment horizontal="right"/>
      <protection/>
    </xf>
    <xf numFmtId="0" fontId="18" fillId="4" borderId="19" xfId="60" applyFont="1" applyFill="1" applyBorder="1" applyAlignment="1">
      <alignment horizontal="right"/>
      <protection/>
    </xf>
    <xf numFmtId="173" fontId="18" fillId="4" borderId="0" xfId="60" applyNumberFormat="1" applyFont="1" applyFill="1" applyBorder="1" applyAlignment="1">
      <alignment horizontal="right"/>
      <protection/>
    </xf>
    <xf numFmtId="0" fontId="18" fillId="4" borderId="20" xfId="60" applyFont="1" applyFill="1" applyBorder="1">
      <alignment/>
      <protection/>
    </xf>
    <xf numFmtId="1" fontId="18" fillId="4" borderId="0" xfId="60" applyNumberFormat="1" applyFont="1" applyFill="1" applyBorder="1" applyAlignment="1">
      <alignment horizontal="right"/>
      <protection/>
    </xf>
    <xf numFmtId="172" fontId="18" fillId="4" borderId="0" xfId="60" applyNumberFormat="1" applyFont="1" applyFill="1" applyBorder="1" applyAlignment="1">
      <alignment horizontal="right"/>
      <protection/>
    </xf>
    <xf numFmtId="2" fontId="18" fillId="4" borderId="0" xfId="60" applyNumberFormat="1" applyFont="1" applyFill="1" applyBorder="1" applyAlignment="1">
      <alignment horizontal="right"/>
      <protection/>
    </xf>
    <xf numFmtId="0" fontId="18" fillId="4" borderId="27" xfId="60" applyFont="1" applyFill="1" applyBorder="1" applyAlignment="1">
      <alignment horizontal="right"/>
      <protection/>
    </xf>
    <xf numFmtId="174" fontId="18" fillId="4" borderId="28" xfId="60" applyNumberFormat="1" applyFont="1" applyFill="1" applyBorder="1" applyAlignment="1">
      <alignment horizontal="right"/>
      <protection/>
    </xf>
    <xf numFmtId="0" fontId="18" fillId="4" borderId="29" xfId="60" applyFont="1" applyFill="1" applyBorder="1">
      <alignment/>
      <protection/>
    </xf>
    <xf numFmtId="0" fontId="18" fillId="22" borderId="19" xfId="60" applyFont="1" applyFill="1" applyBorder="1" applyAlignment="1">
      <alignment horizontal="right"/>
      <protection/>
    </xf>
    <xf numFmtId="173" fontId="18" fillId="22" borderId="0" xfId="60" applyNumberFormat="1" applyFont="1" applyFill="1" applyBorder="1" applyAlignment="1">
      <alignment horizontal="right"/>
      <protection/>
    </xf>
    <xf numFmtId="0" fontId="18" fillId="22" borderId="20" xfId="60" applyFont="1" applyFill="1" applyBorder="1">
      <alignment/>
      <protection/>
    </xf>
    <xf numFmtId="1" fontId="18" fillId="22" borderId="0" xfId="60" applyNumberFormat="1" applyFont="1" applyFill="1" applyBorder="1" applyAlignment="1">
      <alignment horizontal="right"/>
      <protection/>
    </xf>
    <xf numFmtId="172" fontId="18" fillId="22" borderId="0" xfId="60" applyNumberFormat="1" applyFont="1" applyFill="1" applyBorder="1" applyAlignment="1">
      <alignment horizontal="right"/>
      <protection/>
    </xf>
    <xf numFmtId="2" fontId="18" fillId="22" borderId="0" xfId="60" applyNumberFormat="1" applyFont="1" applyFill="1" applyBorder="1" applyAlignment="1">
      <alignment horizontal="right"/>
      <protection/>
    </xf>
    <xf numFmtId="0" fontId="18" fillId="22" borderId="27" xfId="60" applyFont="1" applyFill="1" applyBorder="1" applyAlignment="1">
      <alignment horizontal="right"/>
      <protection/>
    </xf>
    <xf numFmtId="174" fontId="18" fillId="22" borderId="28" xfId="60" applyNumberFormat="1" applyFont="1" applyFill="1" applyBorder="1" applyAlignment="1">
      <alignment horizontal="right"/>
      <protection/>
    </xf>
    <xf numFmtId="0" fontId="18" fillId="22" borderId="29" xfId="60" applyFont="1" applyFill="1" applyBorder="1">
      <alignment/>
      <protection/>
    </xf>
    <xf numFmtId="0" fontId="18" fillId="3" borderId="19" xfId="60" applyFont="1" applyFill="1" applyBorder="1" applyAlignment="1">
      <alignment horizontal="right"/>
      <protection/>
    </xf>
    <xf numFmtId="172" fontId="18" fillId="3" borderId="0" xfId="60" applyNumberFormat="1" applyFont="1" applyFill="1" applyBorder="1" applyAlignment="1">
      <alignment horizontal="right"/>
      <protection/>
    </xf>
    <xf numFmtId="0" fontId="18" fillId="3" borderId="20" xfId="60" applyFont="1" applyFill="1" applyBorder="1">
      <alignment/>
      <protection/>
    </xf>
    <xf numFmtId="0" fontId="18" fillId="3" borderId="30" xfId="60" applyFont="1" applyFill="1" applyBorder="1" applyAlignment="1">
      <alignment horizontal="right"/>
      <protection/>
    </xf>
    <xf numFmtId="173" fontId="18" fillId="3" borderId="31" xfId="60" applyNumberFormat="1" applyFont="1" applyFill="1" applyBorder="1" applyAlignment="1">
      <alignment horizontal="right"/>
      <protection/>
    </xf>
    <xf numFmtId="0" fontId="18" fillId="3" borderId="32" xfId="60" applyFont="1" applyFill="1" applyBorder="1">
      <alignment/>
      <protection/>
    </xf>
    <xf numFmtId="0" fontId="18" fillId="3" borderId="21" xfId="60" applyNumberFormat="1" applyFont="1" applyFill="1" applyBorder="1">
      <alignment/>
      <protection/>
    </xf>
    <xf numFmtId="172" fontId="18" fillId="3" borderId="22" xfId="60" applyNumberFormat="1" applyFont="1" applyFill="1" applyBorder="1">
      <alignment/>
      <protection/>
    </xf>
    <xf numFmtId="1" fontId="18" fillId="3" borderId="22" xfId="60" applyNumberFormat="1" applyFont="1" applyFill="1" applyBorder="1" applyAlignment="1">
      <alignment/>
      <protection/>
    </xf>
    <xf numFmtId="173" fontId="18" fillId="3" borderId="22" xfId="60" applyNumberFormat="1" applyFont="1" applyFill="1" applyBorder="1">
      <alignment/>
      <protection/>
    </xf>
    <xf numFmtId="2" fontId="18" fillId="3" borderId="22" xfId="60" applyNumberFormat="1" applyFont="1" applyFill="1" applyBorder="1" applyAlignment="1">
      <alignment/>
      <protection/>
    </xf>
    <xf numFmtId="174" fontId="18" fillId="3" borderId="22" xfId="60" applyNumberFormat="1" applyFont="1" applyFill="1" applyBorder="1" applyAlignment="1">
      <alignment horizontal="right"/>
      <protection/>
    </xf>
    <xf numFmtId="2" fontId="18" fillId="3" borderId="23" xfId="60" applyNumberFormat="1" applyFont="1" applyFill="1" applyBorder="1" applyAlignment="1">
      <alignment/>
      <protection/>
    </xf>
    <xf numFmtId="0" fontId="18" fillId="0" borderId="33" xfId="60" applyFont="1" applyFill="1" applyBorder="1">
      <alignment/>
      <protection/>
    </xf>
    <xf numFmtId="0" fontId="15" fillId="20" borderId="0" xfId="0" applyFont="1" applyFill="1" applyAlignment="1">
      <alignment vertical="center"/>
    </xf>
    <xf numFmtId="0" fontId="0" fillId="20" borderId="0" xfId="0" applyFill="1" applyAlignment="1">
      <alignment vertical="center"/>
    </xf>
    <xf numFmtId="0" fontId="0" fillId="0" borderId="0" xfId="0" applyAlignment="1">
      <alignment vertical="center"/>
    </xf>
    <xf numFmtId="0" fontId="0" fillId="11" borderId="0" xfId="0" applyFill="1" applyAlignment="1">
      <alignment vertical="center"/>
    </xf>
    <xf numFmtId="0" fontId="0" fillId="25" borderId="0" xfId="0" applyFill="1" applyAlignment="1">
      <alignment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30" fillId="0" borderId="34" xfId="0" applyFont="1" applyFill="1" applyBorder="1" applyAlignment="1">
      <alignment horizontal="center" vertical="center"/>
    </xf>
    <xf numFmtId="0" fontId="15" fillId="0" borderId="35" xfId="0" applyFont="1" applyBorder="1" applyAlignment="1">
      <alignment horizontal="center" vertical="center"/>
    </xf>
    <xf numFmtId="0" fontId="31" fillId="0" borderId="15" xfId="0" applyFont="1" applyBorder="1" applyAlignment="1">
      <alignment horizontal="center" vertical="center"/>
    </xf>
    <xf numFmtId="0" fontId="15" fillId="0" borderId="22" xfId="0" applyFont="1" applyBorder="1" applyAlignment="1">
      <alignment horizontal="center" vertical="center"/>
    </xf>
    <xf numFmtId="0" fontId="15" fillId="0" borderId="36" xfId="0" applyFont="1" applyBorder="1" applyAlignment="1">
      <alignment horizontal="center" vertical="center"/>
    </xf>
    <xf numFmtId="0" fontId="30" fillId="0" borderId="37" xfId="0" applyFont="1" applyFill="1" applyBorder="1" applyAlignment="1">
      <alignment horizontal="center" vertical="center"/>
    </xf>
    <xf numFmtId="0" fontId="0" fillId="0" borderId="38" xfId="0" applyBorder="1" applyAlignment="1">
      <alignment horizontal="center" vertical="center"/>
    </xf>
    <xf numFmtId="0" fontId="0" fillId="0" borderId="22" xfId="0" applyBorder="1" applyAlignment="1">
      <alignment horizontal="center" vertical="center"/>
    </xf>
    <xf numFmtId="0" fontId="30" fillId="0" borderId="22" xfId="0" applyFont="1" applyBorder="1" applyAlignment="1">
      <alignment horizontal="center" vertical="center"/>
    </xf>
    <xf numFmtId="0" fontId="0" fillId="0" borderId="39" xfId="0" applyFill="1" applyBorder="1" applyAlignment="1">
      <alignment horizontal="left" vertical="center" indent="1"/>
    </xf>
    <xf numFmtId="0" fontId="0" fillId="0" borderId="40" xfId="0" applyFill="1" applyBorder="1" applyAlignment="1">
      <alignment horizontal="left" vertical="center" indent="1"/>
    </xf>
    <xf numFmtId="1" fontId="0" fillId="0" borderId="40" xfId="0" applyNumberFormat="1" applyFill="1" applyBorder="1" applyAlignment="1">
      <alignment horizontal="right" vertical="center" indent="1"/>
    </xf>
    <xf numFmtId="174" fontId="0" fillId="0" borderId="40" xfId="0" applyNumberFormat="1" applyFill="1" applyBorder="1" applyAlignment="1">
      <alignment horizontal="right" vertical="center" indent="1"/>
    </xf>
    <xf numFmtId="173" fontId="0" fillId="0" borderId="40" xfId="0" applyNumberFormat="1" applyFill="1" applyBorder="1" applyAlignment="1">
      <alignment horizontal="right" vertical="center" indent="1"/>
    </xf>
    <xf numFmtId="2" fontId="0" fillId="0" borderId="40" xfId="0" applyNumberFormat="1" applyFill="1" applyBorder="1" applyAlignment="1">
      <alignment horizontal="right" vertical="center" indent="1"/>
    </xf>
    <xf numFmtId="0" fontId="0" fillId="0" borderId="40" xfId="0" applyFill="1" applyBorder="1" applyAlignment="1" quotePrefix="1">
      <alignment horizontal="right" vertical="center" indent="1"/>
    </xf>
    <xf numFmtId="174" fontId="0" fillId="0" borderId="41" xfId="0" applyNumberFormat="1" applyFill="1" applyBorder="1" applyAlignment="1">
      <alignment horizontal="right" vertical="center" indent="1"/>
    </xf>
    <xf numFmtId="2" fontId="0" fillId="0" borderId="42" xfId="0" applyNumberFormat="1" applyFill="1" applyBorder="1" applyAlignment="1">
      <alignment horizontal="right" vertical="center" indent="1"/>
    </xf>
    <xf numFmtId="49" fontId="0" fillId="0" borderId="43" xfId="0" applyNumberFormat="1" applyFill="1" applyBorder="1" applyAlignment="1">
      <alignment horizontal="left" vertical="center" indent="1"/>
    </xf>
    <xf numFmtId="0" fontId="0" fillId="0" borderId="44" xfId="0" applyBorder="1" applyAlignment="1">
      <alignment horizontal="left" vertical="center" indent="1"/>
    </xf>
    <xf numFmtId="0" fontId="15" fillId="0" borderId="24" xfId="0" applyFont="1" applyBorder="1" applyAlignment="1">
      <alignment horizontal="center" vertical="center"/>
    </xf>
    <xf numFmtId="0" fontId="0" fillId="0" borderId="45" xfId="0" applyBorder="1" applyAlignment="1">
      <alignment horizontal="left" vertical="center" indent="1"/>
    </xf>
    <xf numFmtId="1" fontId="0" fillId="0" borderId="45" xfId="0" applyNumberFormat="1" applyFill="1" applyBorder="1" applyAlignment="1">
      <alignment horizontal="right" vertical="center" indent="1"/>
    </xf>
    <xf numFmtId="174" fontId="0" fillId="0" borderId="45" xfId="0" applyNumberFormat="1" applyFill="1" applyBorder="1" applyAlignment="1">
      <alignment horizontal="right" vertical="center" indent="1"/>
    </xf>
    <xf numFmtId="173" fontId="0" fillId="0" borderId="45" xfId="0" applyNumberFormat="1" applyFill="1" applyBorder="1" applyAlignment="1">
      <alignment horizontal="right" vertical="center" indent="1"/>
    </xf>
    <xf numFmtId="2" fontId="0" fillId="0" borderId="45" xfId="0" applyNumberFormat="1" applyFill="1" applyBorder="1" applyAlignment="1">
      <alignment horizontal="right" vertical="center" indent="1"/>
    </xf>
    <xf numFmtId="0" fontId="0" fillId="0" borderId="45" xfId="0" applyBorder="1" applyAlignment="1" quotePrefix="1">
      <alignment horizontal="right" vertical="center" indent="1"/>
    </xf>
    <xf numFmtId="174" fontId="0" fillId="0" borderId="46" xfId="0" applyNumberFormat="1" applyFill="1" applyBorder="1" applyAlignment="1">
      <alignment horizontal="right" vertical="center" indent="1"/>
    </xf>
    <xf numFmtId="2" fontId="0" fillId="0" borderId="47" xfId="0" applyNumberFormat="1" applyBorder="1" applyAlignment="1">
      <alignment horizontal="right" vertical="center" indent="1"/>
    </xf>
    <xf numFmtId="2" fontId="0" fillId="0" borderId="45" xfId="0" applyNumberFormat="1" applyBorder="1" applyAlignment="1">
      <alignment horizontal="right" vertical="center" indent="1"/>
    </xf>
    <xf numFmtId="174" fontId="0" fillId="0" borderId="45" xfId="0" applyNumberFormat="1" applyBorder="1" applyAlignment="1">
      <alignment horizontal="right" vertical="center" indent="1"/>
    </xf>
    <xf numFmtId="49" fontId="0" fillId="0" borderId="48" xfId="0" applyNumberFormat="1" applyBorder="1" applyAlignment="1">
      <alignment horizontal="left" vertical="center" indent="1"/>
    </xf>
    <xf numFmtId="0" fontId="0" fillId="0" borderId="44" xfId="0" applyFill="1" applyBorder="1" applyAlignment="1">
      <alignment horizontal="left" vertical="center" indent="1"/>
    </xf>
    <xf numFmtId="0" fontId="0" fillId="0" borderId="45" xfId="0" applyFill="1" applyBorder="1" applyAlignment="1">
      <alignment horizontal="left" vertical="center" indent="1"/>
    </xf>
    <xf numFmtId="0" fontId="0" fillId="0" borderId="45" xfId="0" applyFill="1" applyBorder="1" applyAlignment="1" quotePrefix="1">
      <alignment horizontal="right" vertical="center" indent="1"/>
    </xf>
    <xf numFmtId="2" fontId="0" fillId="0" borderId="47" xfId="0" applyNumberFormat="1" applyFill="1" applyBorder="1" applyAlignment="1">
      <alignment horizontal="right" vertical="center" indent="1"/>
    </xf>
    <xf numFmtId="49" fontId="0" fillId="0" borderId="48" xfId="0" applyNumberFormat="1" applyFill="1" applyBorder="1" applyAlignment="1">
      <alignment horizontal="left" vertical="center" indent="1"/>
    </xf>
    <xf numFmtId="0" fontId="0" fillId="0" borderId="45" xfId="0" applyFill="1" applyBorder="1" applyAlignment="1">
      <alignment horizontal="right" vertical="center" indent="1"/>
    </xf>
    <xf numFmtId="1" fontId="35" fillId="0" borderId="45" xfId="0" applyNumberFormat="1" applyFont="1" applyBorder="1" applyAlignment="1">
      <alignment horizontal="right" vertical="center" indent="1"/>
    </xf>
    <xf numFmtId="173" fontId="0" fillId="0" borderId="45" xfId="0" applyNumberFormat="1" applyBorder="1" applyAlignment="1">
      <alignment horizontal="right" vertical="center" indent="1"/>
    </xf>
    <xf numFmtId="1" fontId="0" fillId="0" borderId="45" xfId="0" applyNumberFormat="1" applyBorder="1" applyAlignment="1">
      <alignment horizontal="right" vertical="center" indent="1"/>
    </xf>
    <xf numFmtId="174" fontId="0" fillId="0" borderId="46" xfId="0" applyNumberFormat="1" applyBorder="1" applyAlignment="1">
      <alignment horizontal="right" vertical="center" indent="1"/>
    </xf>
    <xf numFmtId="0" fontId="0" fillId="0" borderId="49" xfId="0" applyBorder="1" applyAlignment="1">
      <alignment horizontal="left" vertical="center" indent="1"/>
    </xf>
    <xf numFmtId="0" fontId="0" fillId="0" borderId="50" xfId="0" applyBorder="1" applyAlignment="1">
      <alignment horizontal="left" vertical="center" indent="1"/>
    </xf>
    <xf numFmtId="1" fontId="35" fillId="0" borderId="50" xfId="0" applyNumberFormat="1" applyFont="1" applyBorder="1" applyAlignment="1">
      <alignment horizontal="right" vertical="center" indent="1"/>
    </xf>
    <xf numFmtId="174" fontId="0" fillId="0" borderId="50" xfId="0" applyNumberFormat="1" applyBorder="1" applyAlignment="1">
      <alignment horizontal="right" vertical="center" indent="1"/>
    </xf>
    <xf numFmtId="173" fontId="0" fillId="0" borderId="50" xfId="0" applyNumberFormat="1" applyBorder="1" applyAlignment="1">
      <alignment horizontal="right" vertical="center" indent="1"/>
    </xf>
    <xf numFmtId="1" fontId="0" fillId="0" borderId="50" xfId="0" applyNumberFormat="1" applyBorder="1" applyAlignment="1">
      <alignment horizontal="right" vertical="center" indent="1"/>
    </xf>
    <xf numFmtId="2" fontId="0" fillId="0" borderId="50" xfId="0" applyNumberFormat="1" applyBorder="1" applyAlignment="1">
      <alignment horizontal="right" vertical="center" indent="1"/>
    </xf>
    <xf numFmtId="0" fontId="0" fillId="0" borderId="50" xfId="0" applyBorder="1" applyAlignment="1" quotePrefix="1">
      <alignment horizontal="right" vertical="center" indent="1"/>
    </xf>
    <xf numFmtId="174" fontId="0" fillId="0" borderId="51" xfId="0" applyNumberFormat="1" applyBorder="1" applyAlignment="1">
      <alignment horizontal="right" vertical="center" indent="1"/>
    </xf>
    <xf numFmtId="2" fontId="0" fillId="0" borderId="52" xfId="0" applyNumberFormat="1" applyBorder="1" applyAlignment="1">
      <alignment horizontal="right" vertical="center" indent="1"/>
    </xf>
    <xf numFmtId="49" fontId="0" fillId="0" borderId="53" xfId="0" applyNumberFormat="1" applyBorder="1" applyAlignment="1">
      <alignment horizontal="left" vertical="center" indent="1"/>
    </xf>
    <xf numFmtId="174" fontId="0" fillId="0" borderId="54" xfId="0" applyNumberFormat="1" applyBorder="1" applyAlignment="1">
      <alignment horizontal="right" vertical="center" indent="1"/>
    </xf>
    <xf numFmtId="2" fontId="0" fillId="0" borderId="55" xfId="0" applyNumberFormat="1" applyBorder="1" applyAlignment="1" quotePrefix="1">
      <alignment horizontal="left" vertical="center" indent="1"/>
    </xf>
    <xf numFmtId="0" fontId="0" fillId="0" borderId="0" xfId="0" applyAlignment="1">
      <alignment vertical="top" wrapText="1"/>
    </xf>
    <xf numFmtId="0" fontId="0" fillId="0" borderId="0" xfId="0" applyAlignment="1">
      <alignment vertical="top"/>
    </xf>
    <xf numFmtId="0" fontId="0" fillId="11" borderId="0" xfId="0" applyFill="1" applyAlignment="1">
      <alignment vertical="top"/>
    </xf>
    <xf numFmtId="0" fontId="22" fillId="0" borderId="25" xfId="60" applyFont="1" applyFill="1" applyBorder="1" applyAlignment="1">
      <alignment horizontal="center" vertical="top"/>
      <protection/>
    </xf>
    <xf numFmtId="0" fontId="30" fillId="0" borderId="26" xfId="0" applyFont="1" applyFill="1" applyBorder="1" applyAlignment="1">
      <alignment horizontal="center" vertical="top"/>
    </xf>
    <xf numFmtId="0" fontId="22" fillId="0" borderId="22" xfId="60" applyFont="1" applyFill="1" applyBorder="1" applyAlignment="1">
      <alignment horizontal="center" vertical="top"/>
      <protection/>
    </xf>
    <xf numFmtId="0" fontId="31" fillId="0" borderId="22" xfId="60" applyFont="1" applyFill="1" applyBorder="1" applyAlignment="1">
      <alignment horizontal="center" vertical="top"/>
      <protection/>
    </xf>
    <xf numFmtId="0" fontId="15" fillId="0" borderId="23" xfId="0" applyFont="1" applyFill="1" applyBorder="1" applyAlignment="1">
      <alignment horizontal="center" vertical="top"/>
    </xf>
    <xf numFmtId="0" fontId="0" fillId="0" borderId="39" xfId="0" applyFill="1" applyBorder="1" applyAlignment="1" applyProtection="1">
      <alignment horizontal="left" vertical="top"/>
      <protection locked="0"/>
    </xf>
    <xf numFmtId="0" fontId="0" fillId="0" borderId="40" xfId="0" applyFill="1" applyBorder="1" applyAlignment="1" applyProtection="1">
      <alignment horizontal="left" vertical="top"/>
      <protection locked="0"/>
    </xf>
    <xf numFmtId="0" fontId="0" fillId="0" borderId="56" xfId="0" applyNumberFormat="1" applyBorder="1" applyAlignment="1" applyProtection="1">
      <alignment vertical="top"/>
      <protection locked="0"/>
    </xf>
    <xf numFmtId="2" fontId="0" fillId="0" borderId="56" xfId="0" applyNumberFormat="1" applyBorder="1" applyAlignment="1" applyProtection="1">
      <alignment vertical="top"/>
      <protection locked="0"/>
    </xf>
    <xf numFmtId="174" fontId="0" fillId="0" borderId="57" xfId="0" applyNumberFormat="1" applyBorder="1" applyAlignment="1" applyProtection="1">
      <alignmen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0" borderId="45" xfId="0" applyNumberFormat="1" applyBorder="1" applyAlignment="1" applyProtection="1">
      <alignment vertical="top"/>
      <protection locked="0"/>
    </xf>
    <xf numFmtId="2" fontId="0" fillId="0" borderId="45" xfId="0" applyNumberFormat="1" applyBorder="1" applyAlignment="1" applyProtection="1">
      <alignment vertical="top"/>
      <protection locked="0"/>
    </xf>
    <xf numFmtId="174" fontId="0" fillId="0" borderId="48" xfId="0" applyNumberFormat="1" applyBorder="1" applyAlignment="1" applyProtection="1">
      <alignment vertical="top"/>
      <protection locked="0"/>
    </xf>
    <xf numFmtId="0" fontId="0" fillId="0" borderId="44" xfId="0" applyFill="1" applyBorder="1" applyAlignment="1" applyProtection="1">
      <alignment horizontal="left" vertical="top"/>
      <protection locked="0"/>
    </xf>
    <xf numFmtId="0" fontId="0" fillId="0" borderId="45" xfId="0" applyFill="1"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59" xfId="0" applyBorder="1" applyAlignment="1" applyProtection="1">
      <alignment horizontal="left" vertical="top"/>
      <protection locked="0"/>
    </xf>
    <xf numFmtId="0" fontId="0" fillId="0" borderId="59" xfId="0" applyNumberFormat="1" applyBorder="1" applyAlignment="1" applyProtection="1">
      <alignment vertical="top"/>
      <protection locked="0"/>
    </xf>
    <xf numFmtId="2" fontId="0" fillId="0" borderId="59" xfId="0" applyNumberFormat="1" applyBorder="1" applyAlignment="1" applyProtection="1">
      <alignment vertical="top"/>
      <protection locked="0"/>
    </xf>
    <xf numFmtId="0" fontId="15" fillId="0" borderId="15" xfId="0" applyFont="1" applyBorder="1" applyAlignment="1">
      <alignment horizontal="center" vertical="center"/>
    </xf>
    <xf numFmtId="0" fontId="15" fillId="0" borderId="22" xfId="0" applyFont="1" applyBorder="1" applyAlignment="1">
      <alignment horizontal="center" vertical="center"/>
    </xf>
    <xf numFmtId="174" fontId="0" fillId="0" borderId="60" xfId="0" applyNumberFormat="1" applyBorder="1" applyAlignment="1" applyProtection="1">
      <alignment vertical="top"/>
      <protection locked="0"/>
    </xf>
    <xf numFmtId="0" fontId="0" fillId="0" borderId="49" xfId="0" applyBorder="1" applyAlignment="1" applyProtection="1">
      <alignment horizontal="left" vertical="top"/>
      <protection locked="0"/>
    </xf>
    <xf numFmtId="0" fontId="0" fillId="0" borderId="50" xfId="0" applyBorder="1" applyAlignment="1" applyProtection="1">
      <alignment horizontal="left" vertical="top"/>
      <protection locked="0"/>
    </xf>
    <xf numFmtId="0" fontId="0" fillId="0" borderId="50" xfId="0" applyNumberFormat="1" applyBorder="1" applyAlignment="1" applyProtection="1">
      <alignment vertical="top"/>
      <protection locked="0"/>
    </xf>
    <xf numFmtId="2" fontId="0" fillId="0" borderId="50" xfId="0" applyNumberFormat="1" applyBorder="1" applyAlignment="1" applyProtection="1">
      <alignment vertical="top"/>
      <protection locked="0"/>
    </xf>
    <xf numFmtId="174" fontId="0" fillId="0" borderId="53" xfId="0" applyNumberFormat="1" applyBorder="1" applyAlignment="1" applyProtection="1">
      <alignment vertical="top"/>
      <protection locked="0"/>
    </xf>
    <xf numFmtId="0" fontId="0" fillId="0" borderId="0" xfId="0" applyFill="1" applyAlignment="1">
      <alignment vertical="top"/>
    </xf>
    <xf numFmtId="0" fontId="0" fillId="0" borderId="0" xfId="0" applyBorder="1" applyAlignment="1">
      <alignment horizontal="left" vertical="top"/>
    </xf>
    <xf numFmtId="0" fontId="0" fillId="0" borderId="0" xfId="0" applyNumberFormat="1" applyBorder="1" applyAlignment="1">
      <alignment vertical="top"/>
    </xf>
    <xf numFmtId="2" fontId="0" fillId="0" borderId="0" xfId="0" applyNumberFormat="1" applyBorder="1" applyAlignment="1">
      <alignment vertical="top"/>
    </xf>
    <xf numFmtId="174" fontId="0" fillId="0" borderId="0" xfId="0" applyNumberFormat="1" applyBorder="1" applyAlignment="1">
      <alignment vertical="top"/>
    </xf>
    <xf numFmtId="0" fontId="0" fillId="26" borderId="0" xfId="0" applyFill="1" applyAlignment="1">
      <alignment vertical="top"/>
    </xf>
    <xf numFmtId="0" fontId="0" fillId="26" borderId="0" xfId="0" applyFill="1" applyAlignment="1">
      <alignment horizontal="right" vertical="top"/>
    </xf>
    <xf numFmtId="0" fontId="15" fillId="0" borderId="61" xfId="0" applyFont="1" applyBorder="1" applyAlignment="1">
      <alignment horizontal="right" vertical="top"/>
    </xf>
    <xf numFmtId="0" fontId="15" fillId="0" borderId="61" xfId="0" applyFont="1" applyBorder="1" applyAlignment="1" applyProtection="1">
      <alignment horizontal="right" vertical="top"/>
      <protection locked="0"/>
    </xf>
    <xf numFmtId="0" fontId="15" fillId="0" borderId="61" xfId="0" applyFont="1" applyBorder="1" applyAlignment="1">
      <alignment vertical="top"/>
    </xf>
    <xf numFmtId="0" fontId="15" fillId="0" borderId="14" xfId="0" applyFont="1" applyBorder="1" applyAlignment="1">
      <alignment horizontal="center" vertical="top"/>
    </xf>
    <xf numFmtId="0" fontId="15" fillId="0" borderId="17" xfId="0" applyFont="1" applyBorder="1" applyAlignment="1">
      <alignment horizontal="center" vertical="top"/>
    </xf>
    <xf numFmtId="0" fontId="15" fillId="0" borderId="15" xfId="0" applyFont="1" applyBorder="1" applyAlignment="1">
      <alignment horizontal="center" vertical="top"/>
    </xf>
    <xf numFmtId="0" fontId="31" fillId="0" borderId="17" xfId="0" applyFont="1" applyBorder="1" applyAlignment="1">
      <alignment horizontal="center" vertical="top"/>
    </xf>
    <xf numFmtId="0" fontId="15" fillId="0" borderId="21" xfId="0" applyFont="1" applyBorder="1" applyAlignment="1">
      <alignment horizontal="center" vertical="top"/>
    </xf>
    <xf numFmtId="0" fontId="15" fillId="0" borderId="23" xfId="0" applyFont="1" applyBorder="1" applyAlignment="1">
      <alignment horizontal="center" vertical="top"/>
    </xf>
    <xf numFmtId="0" fontId="15" fillId="0" borderId="22" xfId="0" applyFont="1" applyBorder="1" applyAlignment="1">
      <alignment horizontal="center" vertical="top"/>
    </xf>
    <xf numFmtId="173" fontId="0" fillId="0" borderId="22" xfId="0" applyNumberFormat="1" applyFill="1" applyBorder="1" applyAlignment="1">
      <alignment horizontal="right" vertical="top"/>
    </xf>
    <xf numFmtId="0" fontId="30" fillId="0" borderId="23" xfId="0" applyFont="1" applyBorder="1" applyAlignment="1">
      <alignment horizontal="center" vertical="top"/>
    </xf>
    <xf numFmtId="0" fontId="0" fillId="0" borderId="39" xfId="0" applyFill="1" applyBorder="1" applyAlignment="1">
      <alignment horizontal="left" vertical="top"/>
    </xf>
    <xf numFmtId="0" fontId="0" fillId="0" borderId="62" xfId="0" applyFill="1" applyBorder="1" applyAlignment="1">
      <alignment horizontal="left" vertical="top"/>
    </xf>
    <xf numFmtId="1" fontId="0" fillId="0" borderId="63" xfId="0" applyNumberFormat="1" applyBorder="1" applyAlignment="1">
      <alignment horizontal="right" vertical="top"/>
    </xf>
    <xf numFmtId="173" fontId="0" fillId="0" borderId="57" xfId="0" applyNumberFormat="1" applyFill="1" applyBorder="1" applyAlignment="1">
      <alignment horizontal="right" vertical="top"/>
    </xf>
    <xf numFmtId="2" fontId="0" fillId="0" borderId="56" xfId="0" applyNumberFormat="1" applyBorder="1" applyAlignment="1">
      <alignment horizontal="right" vertical="top"/>
    </xf>
    <xf numFmtId="173" fontId="0" fillId="0" borderId="56" xfId="0" applyNumberFormat="1" applyFill="1" applyBorder="1" applyAlignment="1">
      <alignment horizontal="right" vertical="top"/>
    </xf>
    <xf numFmtId="174" fontId="0" fillId="0" borderId="57" xfId="0" applyNumberFormat="1" applyBorder="1" applyAlignment="1">
      <alignment horizontal="right" vertical="top"/>
    </xf>
    <xf numFmtId="0" fontId="0" fillId="0" borderId="44" xfId="0" applyBorder="1" applyAlignment="1">
      <alignment horizontal="left" vertical="top"/>
    </xf>
    <xf numFmtId="0" fontId="0" fillId="0" borderId="64" xfId="0" applyBorder="1" applyAlignment="1">
      <alignment horizontal="left" vertical="top"/>
    </xf>
    <xf numFmtId="1" fontId="0" fillId="0" borderId="44" xfId="0" applyNumberFormat="1" applyBorder="1" applyAlignment="1">
      <alignment horizontal="right" vertical="top"/>
    </xf>
    <xf numFmtId="173" fontId="0" fillId="0" borderId="48" xfId="0" applyNumberFormat="1" applyFill="1" applyBorder="1" applyAlignment="1">
      <alignment horizontal="right" vertical="top"/>
    </xf>
    <xf numFmtId="2" fontId="0" fillId="0" borderId="45" xfId="0" applyNumberFormat="1" applyBorder="1" applyAlignment="1">
      <alignment horizontal="right" vertical="top"/>
    </xf>
    <xf numFmtId="173" fontId="0" fillId="0" borderId="45" xfId="0" applyNumberFormat="1" applyFill="1" applyBorder="1" applyAlignment="1">
      <alignment horizontal="right" vertical="top"/>
    </xf>
    <xf numFmtId="174" fontId="0" fillId="0" borderId="48" xfId="0" applyNumberFormat="1" applyBorder="1" applyAlignment="1">
      <alignment horizontal="right" vertical="top"/>
    </xf>
    <xf numFmtId="0" fontId="0" fillId="0" borderId="44" xfId="0" applyFill="1" applyBorder="1" applyAlignment="1">
      <alignment horizontal="left" vertical="top"/>
    </xf>
    <xf numFmtId="0" fontId="0" fillId="0" borderId="64" xfId="0" applyFill="1" applyBorder="1" applyAlignment="1">
      <alignment horizontal="left" vertical="top"/>
    </xf>
    <xf numFmtId="0" fontId="0" fillId="0" borderId="49" xfId="0" applyBorder="1" applyAlignment="1">
      <alignment horizontal="left" vertical="top"/>
    </xf>
    <xf numFmtId="0" fontId="0" fillId="0" borderId="65" xfId="0" applyBorder="1" applyAlignment="1">
      <alignment horizontal="left" vertical="top"/>
    </xf>
    <xf numFmtId="1" fontId="0" fillId="0" borderId="49" xfId="0" applyNumberFormat="1" applyBorder="1" applyAlignment="1">
      <alignment horizontal="right" vertical="top"/>
    </xf>
    <xf numFmtId="173" fontId="0" fillId="0" borderId="53" xfId="0" applyNumberFormat="1" applyFill="1" applyBorder="1" applyAlignment="1">
      <alignment horizontal="right" vertical="top"/>
    </xf>
    <xf numFmtId="2" fontId="0" fillId="0" borderId="50" xfId="0" applyNumberFormat="1" applyBorder="1" applyAlignment="1">
      <alignment horizontal="right" vertical="top"/>
    </xf>
    <xf numFmtId="173" fontId="0" fillId="0" borderId="50" xfId="0" applyNumberFormat="1" applyFill="1" applyBorder="1" applyAlignment="1">
      <alignment horizontal="right" vertical="top"/>
    </xf>
    <xf numFmtId="174" fontId="0" fillId="0" borderId="53" xfId="0" applyNumberFormat="1" applyBorder="1" applyAlignment="1">
      <alignment horizontal="right" vertical="top"/>
    </xf>
    <xf numFmtId="0" fontId="0" fillId="0" borderId="0" xfId="0" applyAlignment="1">
      <alignment horizontal="left" vertical="top"/>
    </xf>
    <xf numFmtId="0" fontId="0" fillId="0" borderId="0" xfId="0" applyAlignment="1">
      <alignment horizontal="right" vertical="top"/>
    </xf>
    <xf numFmtId="0" fontId="28" fillId="0" borderId="0" xfId="51" applyAlignment="1" applyProtection="1">
      <alignment vertical="top"/>
      <protection/>
    </xf>
    <xf numFmtId="0" fontId="0" fillId="0" borderId="0" xfId="0" applyAlignment="1">
      <alignment horizontal="right" vertical="center"/>
    </xf>
    <xf numFmtId="0" fontId="28" fillId="0" borderId="0" xfId="51" applyFill="1" applyAlignment="1" applyProtection="1">
      <alignment vertical="center"/>
      <protection/>
    </xf>
    <xf numFmtId="0" fontId="0" fillId="0" borderId="0" xfId="0" applyAlignment="1">
      <alignment horizontal="left" vertical="center"/>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49" fontId="0" fillId="0" borderId="26" xfId="0" applyNumberFormat="1" applyBorder="1" applyAlignment="1">
      <alignment horizontal="center" vertical="center"/>
    </xf>
    <xf numFmtId="49" fontId="0" fillId="0" borderId="17" xfId="0" applyNumberFormat="1" applyBorder="1" applyAlignment="1">
      <alignment horizontal="center" vertical="center"/>
    </xf>
    <xf numFmtId="49" fontId="0" fillId="0" borderId="23" xfId="0" applyNumberFormat="1" applyBorder="1" applyAlignment="1">
      <alignment horizontal="center" vertical="center"/>
    </xf>
    <xf numFmtId="0" fontId="15" fillId="0" borderId="14" xfId="0" applyFont="1" applyBorder="1" applyAlignment="1">
      <alignment horizontal="center" vertical="center"/>
    </xf>
    <xf numFmtId="0" fontId="15" fillId="0" borderId="21" xfId="0" applyFont="1" applyBorder="1" applyAlignment="1">
      <alignment horizontal="center" vertical="center"/>
    </xf>
    <xf numFmtId="0" fontId="15" fillId="0" borderId="66" xfId="0" applyFont="1" applyBorder="1" applyAlignment="1">
      <alignment horizontal="center" vertical="center"/>
    </xf>
    <xf numFmtId="0" fontId="15" fillId="0" borderId="16" xfId="0" applyFont="1" applyBorder="1" applyAlignment="1">
      <alignment horizontal="center" vertical="center"/>
    </xf>
    <xf numFmtId="0" fontId="15" fillId="0" borderId="36" xfId="0" applyFont="1" applyBorder="1" applyAlignment="1">
      <alignment horizontal="center" vertical="center"/>
    </xf>
    <xf numFmtId="0" fontId="15" fillId="0" borderId="24" xfId="0" applyFont="1" applyBorder="1" applyAlignment="1">
      <alignment horizontal="center" vertical="top"/>
    </xf>
    <xf numFmtId="0" fontId="15" fillId="0" borderId="26" xfId="0" applyFont="1" applyBorder="1" applyAlignment="1">
      <alignment horizontal="center" vertical="top"/>
    </xf>
    <xf numFmtId="0" fontId="15" fillId="0" borderId="25" xfId="0" applyFont="1" applyBorder="1" applyAlignment="1">
      <alignment horizontal="center" vertical="top"/>
    </xf>
    <xf numFmtId="0" fontId="0" fillId="0" borderId="0" xfId="0" applyAlignment="1">
      <alignment vertical="top" wrapText="1"/>
    </xf>
    <xf numFmtId="0" fontId="15" fillId="0" borderId="25" xfId="0" applyFont="1" applyBorder="1" applyAlignment="1">
      <alignment horizontal="center" vertical="center"/>
    </xf>
    <xf numFmtId="0" fontId="22" fillId="8" borderId="67" xfId="60" applyFont="1" applyFill="1" applyBorder="1" applyAlignment="1">
      <alignment horizontal="center"/>
      <protection/>
    </xf>
    <xf numFmtId="0" fontId="17" fillId="8" borderId="68" xfId="60" applyFill="1" applyBorder="1" applyAlignment="1">
      <alignment horizontal="center"/>
      <protection/>
    </xf>
    <xf numFmtId="0" fontId="17" fillId="8" borderId="69" xfId="60" applyFill="1" applyBorder="1" applyAlignment="1">
      <alignment horizontal="center"/>
      <protection/>
    </xf>
    <xf numFmtId="0" fontId="22" fillId="4" borderId="70" xfId="60" applyFont="1" applyFill="1" applyBorder="1" applyAlignment="1">
      <alignment horizontal="center"/>
      <protection/>
    </xf>
    <xf numFmtId="0" fontId="22" fillId="4" borderId="71" xfId="60" applyFont="1" applyFill="1" applyBorder="1" applyAlignment="1">
      <alignment horizontal="center"/>
      <protection/>
    </xf>
    <xf numFmtId="0" fontId="22" fillId="4" borderId="72" xfId="60" applyFont="1" applyFill="1" applyBorder="1" applyAlignment="1">
      <alignment horizontal="center"/>
      <protection/>
    </xf>
    <xf numFmtId="0" fontId="22" fillId="22" borderId="70" xfId="60" applyFont="1" applyFill="1" applyBorder="1" applyAlignment="1">
      <alignment horizontal="center"/>
      <protection/>
    </xf>
    <xf numFmtId="0" fontId="22" fillId="22" borderId="71" xfId="60" applyFont="1" applyFill="1" applyBorder="1" applyAlignment="1">
      <alignment horizontal="center"/>
      <protection/>
    </xf>
    <xf numFmtId="0" fontId="22" fillId="22" borderId="72" xfId="60" applyFont="1" applyFill="1" applyBorder="1" applyAlignment="1">
      <alignment horizontal="center"/>
      <protection/>
    </xf>
    <xf numFmtId="0" fontId="22" fillId="3" borderId="70" xfId="60" applyFont="1" applyFill="1" applyBorder="1" applyAlignment="1">
      <alignment horizontal="center"/>
      <protection/>
    </xf>
    <xf numFmtId="0" fontId="22" fillId="3" borderId="71" xfId="60" applyFont="1" applyFill="1" applyBorder="1" applyAlignment="1">
      <alignment horizontal="center"/>
      <protection/>
    </xf>
    <xf numFmtId="0" fontId="22" fillId="3" borderId="72" xfId="60" applyFont="1" applyFill="1" applyBorder="1" applyAlignment="1">
      <alignment horizontal="center"/>
      <protection/>
    </xf>
    <xf numFmtId="0" fontId="19" fillId="0" borderId="73" xfId="60" applyFont="1" applyFill="1" applyBorder="1" applyAlignment="1">
      <alignment horizontal="center"/>
      <protection/>
    </xf>
    <xf numFmtId="0" fontId="19" fillId="0" borderId="74" xfId="60" applyFont="1" applyFill="1" applyBorder="1" applyAlignment="1">
      <alignment horizontal="center"/>
      <protection/>
    </xf>
    <xf numFmtId="0" fontId="19" fillId="0" borderId="75" xfId="60" applyFont="1" applyFill="1" applyBorder="1" applyAlignment="1">
      <alignment horizontal="center"/>
      <protection/>
    </xf>
    <xf numFmtId="0" fontId="22" fillId="0" borderId="67" xfId="60" applyFont="1" applyFill="1" applyBorder="1" applyAlignment="1">
      <alignment horizontal="center"/>
      <protection/>
    </xf>
    <xf numFmtId="0" fontId="22" fillId="0" borderId="68" xfId="60" applyFont="1" applyFill="1" applyBorder="1" applyAlignment="1">
      <alignment horizontal="center"/>
      <protection/>
    </xf>
    <xf numFmtId="0" fontId="22" fillId="0" borderId="69" xfId="60" applyFont="1" applyFill="1" applyBorder="1" applyAlignment="1">
      <alignment horizontal="center"/>
      <protection/>
    </xf>
    <xf numFmtId="0" fontId="22" fillId="0" borderId="70" xfId="55" applyFont="1" applyFill="1" applyBorder="1" applyAlignment="1">
      <alignment horizontal="center"/>
      <protection/>
    </xf>
    <xf numFmtId="0" fontId="22" fillId="0" borderId="71" xfId="55" applyFont="1" applyFill="1" applyBorder="1" applyAlignment="1">
      <alignment horizontal="center"/>
      <protection/>
    </xf>
    <xf numFmtId="0" fontId="22" fillId="0" borderId="72" xfId="55" applyFont="1" applyFill="1" applyBorder="1" applyAlignment="1">
      <alignment horizontal="center"/>
      <protection/>
    </xf>
    <xf numFmtId="0" fontId="22" fillId="0" borderId="76" xfId="55" applyFont="1" applyFill="1" applyBorder="1" applyAlignment="1">
      <alignment horizontal="center"/>
      <protection/>
    </xf>
    <xf numFmtId="0" fontId="17" fillId="0" borderId="77" xfId="55" applyFill="1" applyBorder="1" applyAlignment="1">
      <alignment horizontal="center"/>
      <protection/>
    </xf>
    <xf numFmtId="0" fontId="17" fillId="0" borderId="78" xfId="55" applyFill="1" applyBorder="1" applyAlignment="1">
      <alignment horizontal="center"/>
      <protection/>
    </xf>
    <xf numFmtId="0" fontId="0" fillId="0" borderId="79" xfId="0" applyBorder="1" applyAlignment="1">
      <alignment vertical="top" wrapText="1"/>
    </xf>
    <xf numFmtId="0" fontId="0" fillId="0" borderId="80" xfId="0" applyBorder="1" applyAlignment="1">
      <alignment vertical="top" wrapText="1"/>
    </xf>
    <xf numFmtId="0" fontId="0" fillId="0" borderId="81" xfId="0" applyBorder="1" applyAlignment="1">
      <alignment vertical="top" wrapText="1"/>
    </xf>
    <xf numFmtId="0" fontId="0" fillId="0" borderId="82" xfId="0" applyBorder="1" applyAlignment="1">
      <alignment vertical="top" wrapText="1"/>
    </xf>
    <xf numFmtId="0" fontId="0" fillId="0" borderId="0" xfId="0" applyBorder="1" applyAlignment="1">
      <alignment vertical="top" wrapText="1"/>
    </xf>
    <xf numFmtId="0" fontId="0" fillId="0" borderId="83" xfId="0" applyBorder="1" applyAlignment="1">
      <alignment vertical="top" wrapText="1"/>
    </xf>
    <xf numFmtId="0" fontId="0" fillId="0" borderId="84" xfId="0" applyBorder="1" applyAlignment="1">
      <alignment vertical="top" wrapText="1"/>
    </xf>
    <xf numFmtId="0" fontId="0" fillId="0" borderId="85" xfId="0" applyBorder="1" applyAlignment="1">
      <alignment vertical="top" wrapText="1"/>
    </xf>
    <xf numFmtId="0" fontId="0" fillId="0" borderId="86" xfId="0" applyBorder="1"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Followed Hyperlink" xfId="40"/>
    <cellStyle name="Calculation" xfId="41"/>
    <cellStyle name="Check Cell" xfId="42"/>
    <cellStyle name="Comma" xfId="43"/>
    <cellStyle name="Comma [0]" xfId="44"/>
    <cellStyle name="Explanatory Text" xfId="45"/>
    <cellStyle name="Good" xfId="46"/>
    <cellStyle name="Heading 1" xfId="47"/>
    <cellStyle name="Heading 2" xfId="48"/>
    <cellStyle name="Heading 3" xfId="49"/>
    <cellStyle name="Heading 4" xfId="50"/>
    <cellStyle name="Hyperlink" xfId="51"/>
    <cellStyle name="Input" xfId="52"/>
    <cellStyle name="Linked Cell" xfId="53"/>
    <cellStyle name="Neutral" xfId="54"/>
    <cellStyle name="Normal 2" xfId="55"/>
    <cellStyle name="Normal 2 2" xfId="56"/>
    <cellStyle name="Note" xfId="57"/>
    <cellStyle name="Output" xfId="58"/>
    <cellStyle name="Percent" xfId="59"/>
    <cellStyle name="Standard_E-Maschine" xfId="60"/>
    <cellStyle name="Title" xfId="61"/>
    <cellStyle name="Total" xfId="62"/>
    <cellStyle name="Currency" xfId="63"/>
    <cellStyle name="Currency [0]" xfId="64"/>
    <cellStyle name="Warning Text" xfId="65"/>
  </cellStyles>
  <dxfs count="7">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Wirkungsgrad</a:t>
            </a:r>
          </a:p>
        </c:rich>
      </c:tx>
      <c:layout>
        <c:manualLayout>
          <c:xMode val="factor"/>
          <c:yMode val="factor"/>
          <c:x val="-0.0025"/>
          <c:y val="-0.0135"/>
        </c:manualLayout>
      </c:layout>
      <c:spPr>
        <a:noFill/>
        <a:ln>
          <a:noFill/>
        </a:ln>
      </c:spPr>
    </c:title>
    <c:plotArea>
      <c:layout>
        <c:manualLayout>
          <c:xMode val="edge"/>
          <c:yMode val="edge"/>
          <c:x val="0.02925"/>
          <c:y val="0.047"/>
          <c:w val="0.88325"/>
          <c:h val="0.85925"/>
        </c:manualLayout>
      </c:layout>
      <c:scatterChart>
        <c:scatterStyle val="smoothMarker"/>
        <c:varyColors val="0"/>
        <c:ser>
          <c:idx val="0"/>
          <c:order val="0"/>
          <c:tx>
            <c:v>h</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'Vorlage f. Kennlinien'!$M$7:$M$47</c:f>
              <c:numCache/>
            </c:numRef>
          </c:xVal>
          <c:yVal>
            <c:numRef>
              <c:f>'Vorlage f. Kennlinien'!$L$7:$L$47</c:f>
              <c:numCache/>
            </c:numRef>
          </c:yVal>
          <c:smooth val="1"/>
        </c:ser>
        <c:axId val="42866077"/>
        <c:axId val="50250374"/>
      </c:scatterChart>
      <c:valAx>
        <c:axId val="42866077"/>
        <c:scaling>
          <c:orientation val="minMax"/>
          <c:min val="0"/>
        </c:scaling>
        <c:axPos val="b"/>
        <c:title>
          <c:tx>
            <c:rich>
              <a:bodyPr vert="horz" rot="0" anchor="ctr"/>
              <a:lstStyle/>
              <a:p>
                <a:pPr algn="ctr">
                  <a:defRPr/>
                </a:pPr>
                <a:r>
                  <a:rPr lang="en-US" cap="none" sz="1000" b="1" i="0" u="none" baseline="0">
                    <a:solidFill>
                      <a:srgbClr val="000000"/>
                    </a:solidFill>
                    <a:latin typeface="Calibri"/>
                    <a:ea typeface="Calibri"/>
                    <a:cs typeface="Calibri"/>
                  </a:rPr>
                  <a:t>M / Ncm</a:t>
                </a:r>
              </a:p>
            </c:rich>
          </c:tx>
          <c:layout>
            <c:manualLayout>
              <c:xMode val="factor"/>
              <c:yMode val="factor"/>
              <c:x val="0"/>
              <c:y val="-0.0045"/>
            </c:manualLayout>
          </c:layout>
          <c:overlay val="0"/>
          <c:spPr>
            <a:noFill/>
            <a:ln>
              <a:noFill/>
            </a:ln>
          </c:spPr>
        </c:title>
        <c:majorGridlines>
          <c:spPr>
            <a:ln w="3175">
              <a:solidFill>
                <a:srgbClr val="808080"/>
              </a:solidFill>
            </a:ln>
          </c:spPr>
        </c:majorGridlines>
        <c:delete val="0"/>
        <c:numFmt formatCode="0.00" sourceLinked="0"/>
        <c:majorTickMark val="out"/>
        <c:minorTickMark val="none"/>
        <c:tickLblPos val="nextTo"/>
        <c:spPr>
          <a:ln w="12700">
            <a:solidFill>
              <a:srgbClr val="000000"/>
            </a:solidFill>
          </a:ln>
        </c:spPr>
        <c:crossAx val="50250374"/>
        <c:crosses val="autoZero"/>
        <c:crossBetween val="midCat"/>
        <c:dispUnits/>
      </c:valAx>
      <c:valAx>
        <c:axId val="50250374"/>
        <c:scaling>
          <c:orientation val="minMax"/>
          <c:min val="0"/>
        </c:scaling>
        <c:axPos val="l"/>
        <c:title>
          <c:tx>
            <c:rich>
              <a:bodyPr vert="horz" rot="0" anchor="ctr"/>
              <a:lstStyle/>
              <a:p>
                <a:pPr algn="ctr">
                  <a:defRPr/>
                </a:pPr>
                <a:r>
                  <a:rPr lang="en-US" cap="none" sz="1000" b="1" i="0" u="none" baseline="0">
                    <a:solidFill>
                      <a:srgbClr val="000000"/>
                    </a:solidFill>
                  </a:rPr>
                  <a:t>h</a:t>
                </a:r>
                <a:r>
                  <a:rPr lang="en-US" cap="none" sz="1000" b="1" i="0" u="none" baseline="0">
                    <a:solidFill>
                      <a:srgbClr val="000000"/>
                    </a:solidFill>
                    <a:latin typeface="Calibri"/>
                    <a:ea typeface="Calibri"/>
                    <a:cs typeface="Calibri"/>
                  </a:rPr>
                  <a:t> / %</a:t>
                </a:r>
              </a:p>
            </c:rich>
          </c:tx>
          <c:layout>
            <c:manualLayout>
              <c:xMode val="factor"/>
              <c:yMode val="factor"/>
              <c:x val="0.01025"/>
              <c:y val="0.147"/>
            </c:manualLayout>
          </c:layout>
          <c:overlay val="0"/>
          <c:spPr>
            <a:noFill/>
            <a:ln>
              <a:noFill/>
            </a:ln>
          </c:spPr>
        </c:title>
        <c:majorGridlines>
          <c:spPr>
            <a:ln w="3175">
              <a:solidFill>
                <a:srgbClr val="808080"/>
              </a:solidFill>
            </a:ln>
          </c:spPr>
        </c:majorGridlines>
        <c:delete val="0"/>
        <c:numFmt formatCode="0.0" sourceLinked="0"/>
        <c:majorTickMark val="out"/>
        <c:minorTickMark val="none"/>
        <c:tickLblPos val="nextTo"/>
        <c:spPr>
          <a:ln w="12700">
            <a:solidFill>
              <a:srgbClr val="000000"/>
            </a:solidFill>
          </a:ln>
        </c:spPr>
        <c:crossAx val="42866077"/>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Abgabeleistung</a:t>
            </a:r>
          </a:p>
        </c:rich>
      </c:tx>
      <c:layout>
        <c:manualLayout>
          <c:xMode val="factor"/>
          <c:yMode val="factor"/>
          <c:x val="-0.00125"/>
          <c:y val="-0.015"/>
        </c:manualLayout>
      </c:layout>
      <c:spPr>
        <a:noFill/>
        <a:ln>
          <a:noFill/>
        </a:ln>
      </c:spPr>
    </c:title>
    <c:plotArea>
      <c:layout>
        <c:manualLayout>
          <c:xMode val="edge"/>
          <c:yMode val="edge"/>
          <c:x val="0.03"/>
          <c:y val="0.04575"/>
          <c:w val="0.88275"/>
          <c:h val="0.85925"/>
        </c:manualLayout>
      </c:layout>
      <c:scatterChart>
        <c:scatterStyle val="smoothMarker"/>
        <c:varyColors val="0"/>
        <c:ser>
          <c:idx val="2"/>
          <c:order val="0"/>
          <c:tx>
            <c:v>P</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'Vorlage f. Kennlinien'!$M$7:$M$47</c:f>
              <c:numCache/>
            </c:numRef>
          </c:xVal>
          <c:yVal>
            <c:numRef>
              <c:f>'Vorlage f. Kennlinien'!$J$7:$J$47</c:f>
              <c:numCache/>
            </c:numRef>
          </c:yVal>
          <c:smooth val="1"/>
        </c:ser>
        <c:axId val="49600183"/>
        <c:axId val="43748464"/>
      </c:scatterChart>
      <c:valAx>
        <c:axId val="49600183"/>
        <c:scaling>
          <c:orientation val="minMax"/>
          <c:min val="0"/>
        </c:scaling>
        <c:axPos val="b"/>
        <c:title>
          <c:tx>
            <c:rich>
              <a:bodyPr vert="horz" rot="0" anchor="ctr"/>
              <a:lstStyle/>
              <a:p>
                <a:pPr algn="ctr">
                  <a:defRPr/>
                </a:pPr>
                <a:r>
                  <a:rPr lang="en-US" cap="none" sz="1000" b="1" i="0" u="none" baseline="0">
                    <a:solidFill>
                      <a:srgbClr val="000000"/>
                    </a:solidFill>
                    <a:latin typeface="Calibri"/>
                    <a:ea typeface="Calibri"/>
                    <a:cs typeface="Calibri"/>
                  </a:rPr>
                  <a:t>M / Ncm</a:t>
                </a:r>
              </a:p>
            </c:rich>
          </c:tx>
          <c:layout>
            <c:manualLayout>
              <c:xMode val="factor"/>
              <c:yMode val="factor"/>
              <c:x val="0"/>
              <c:y val="-0.00275"/>
            </c:manualLayout>
          </c:layout>
          <c:overlay val="0"/>
          <c:spPr>
            <a:noFill/>
            <a:ln>
              <a:noFill/>
            </a:ln>
          </c:spPr>
        </c:title>
        <c:majorGridlines>
          <c:spPr>
            <a:ln w="3175">
              <a:solidFill>
                <a:srgbClr val="808080"/>
              </a:solidFill>
            </a:ln>
          </c:spPr>
        </c:majorGridlines>
        <c:delete val="0"/>
        <c:numFmt formatCode="0.00" sourceLinked="0"/>
        <c:majorTickMark val="out"/>
        <c:minorTickMark val="none"/>
        <c:tickLblPos val="nextTo"/>
        <c:spPr>
          <a:ln w="12700">
            <a:solidFill>
              <a:srgbClr val="000000"/>
            </a:solidFill>
          </a:ln>
        </c:spPr>
        <c:crossAx val="43748464"/>
        <c:crosses val="autoZero"/>
        <c:crossBetween val="midCat"/>
        <c:dispUnits/>
      </c:valAx>
      <c:valAx>
        <c:axId val="43748464"/>
        <c:scaling>
          <c:orientation val="minMax"/>
          <c:min val="0"/>
        </c:scaling>
        <c:axPos val="l"/>
        <c:title>
          <c:tx>
            <c:rich>
              <a:bodyPr vert="horz" rot="0" anchor="ctr"/>
              <a:lstStyle/>
              <a:p>
                <a:pPr algn="ctr">
                  <a:defRPr/>
                </a:pPr>
                <a:r>
                  <a:rPr lang="en-US" cap="none" sz="1000" b="1" i="0" u="none" baseline="0">
                    <a:solidFill>
                      <a:srgbClr val="000000"/>
                    </a:solidFill>
                    <a:latin typeface="Calibri"/>
                    <a:ea typeface="Calibri"/>
                    <a:cs typeface="Calibri"/>
                  </a:rPr>
                  <a:t>P / W</a:t>
                </a:r>
              </a:p>
            </c:rich>
          </c:tx>
          <c:layout>
            <c:manualLayout>
              <c:xMode val="factor"/>
              <c:yMode val="factor"/>
              <c:x val="0.01325"/>
              <c:y val="0.14825"/>
            </c:manualLayout>
          </c:layout>
          <c:overlay val="0"/>
          <c:spPr>
            <a:noFill/>
            <a:ln>
              <a:noFill/>
            </a:ln>
          </c:spPr>
        </c:title>
        <c:majorGridlines>
          <c:spPr>
            <a:ln w="3175">
              <a:solidFill>
                <a:srgbClr val="808080"/>
              </a:solidFill>
            </a:ln>
          </c:spPr>
        </c:majorGridlines>
        <c:delete val="0"/>
        <c:numFmt formatCode="0.0" sourceLinked="0"/>
        <c:majorTickMark val="out"/>
        <c:minorTickMark val="none"/>
        <c:tickLblPos val="nextTo"/>
        <c:spPr>
          <a:ln w="12700">
            <a:solidFill>
              <a:srgbClr val="000000"/>
            </a:solidFill>
          </a:ln>
        </c:spPr>
        <c:crossAx val="49600183"/>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3</xdr:row>
      <xdr:rowOff>19050</xdr:rowOff>
    </xdr:from>
    <xdr:to>
      <xdr:col>13</xdr:col>
      <xdr:colOff>6105525</xdr:colOff>
      <xdr:row>23</xdr:row>
      <xdr:rowOff>190500</xdr:rowOff>
    </xdr:to>
    <xdr:graphicFrame>
      <xdr:nvGraphicFramePr>
        <xdr:cNvPr id="1" name="Chart 3"/>
        <xdr:cNvGraphicFramePr/>
      </xdr:nvGraphicFramePr>
      <xdr:xfrm>
        <a:off x="5419725" y="447675"/>
        <a:ext cx="6086475" cy="4019550"/>
      </xdr:xfrm>
      <a:graphic>
        <a:graphicData uri="http://schemas.openxmlformats.org/drawingml/2006/chart">
          <c:chart xmlns:c="http://schemas.openxmlformats.org/drawingml/2006/chart" r:id="rId1"/>
        </a:graphicData>
      </a:graphic>
    </xdr:graphicFrame>
    <xdr:clientData/>
  </xdr:twoCellAnchor>
  <xdr:twoCellAnchor>
    <xdr:from>
      <xdr:col>13</xdr:col>
      <xdr:colOff>38100</xdr:colOff>
      <xdr:row>25</xdr:row>
      <xdr:rowOff>19050</xdr:rowOff>
    </xdr:from>
    <xdr:to>
      <xdr:col>13</xdr:col>
      <xdr:colOff>6105525</xdr:colOff>
      <xdr:row>46</xdr:row>
      <xdr:rowOff>171450</xdr:rowOff>
    </xdr:to>
    <xdr:graphicFrame>
      <xdr:nvGraphicFramePr>
        <xdr:cNvPr id="2" name="Chart 5"/>
        <xdr:cNvGraphicFramePr/>
      </xdr:nvGraphicFramePr>
      <xdr:xfrm>
        <a:off x="5429250" y="4686300"/>
        <a:ext cx="6067425" cy="41338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ischertechnik.de/desktopdefault.aspx/tabid-51/68_read-12/usetemplate-1_column_no_pan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tcommunity.de/ftpedia_ausgaben/ftpedia-2013-3.pdf"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ftcommunity.de/data/downloads/dokumente/technischeinformationen/ft-Motoren.xls" TargetMode="External" /><Relationship Id="rId2" Type="http://schemas.openxmlformats.org/officeDocument/2006/relationships/hyperlink" Target="http://www.ftcommunity.de/ftpedia_ausgaben/ftpedia-2013-3.pdf"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29"/>
  <sheetViews>
    <sheetView tabSelected="1" zoomScale="75" zoomScaleNormal="75" zoomScalePageLayoutView="0" workbookViewId="0" topLeftCell="A1">
      <selection activeCell="A13" sqref="A13"/>
    </sheetView>
  </sheetViews>
  <sheetFormatPr defaultColWidth="9.140625" defaultRowHeight="15"/>
  <cols>
    <col min="1" max="1" width="19.421875" style="101" customWidth="1"/>
    <col min="2" max="2" width="26.57421875" style="101" bestFit="1" customWidth="1"/>
    <col min="3" max="3" width="11.00390625" style="101" bestFit="1" customWidth="1"/>
    <col min="4" max="4" width="8.421875" style="101" bestFit="1" customWidth="1"/>
    <col min="5" max="5" width="11.140625" style="101" customWidth="1"/>
    <col min="6" max="6" width="11.00390625" style="101" customWidth="1"/>
    <col min="7" max="7" width="8.421875" style="101" customWidth="1"/>
    <col min="8" max="8" width="8.421875" style="101" bestFit="1" customWidth="1"/>
    <col min="9" max="9" width="11.57421875" style="101" customWidth="1"/>
    <col min="10" max="10" width="8.57421875" style="101" bestFit="1" customWidth="1"/>
    <col min="11" max="11" width="8.421875" style="101" customWidth="1"/>
    <col min="12" max="12" width="10.421875" style="101" bestFit="1" customWidth="1"/>
    <col min="13" max="14" width="10.421875" style="101" customWidth="1"/>
    <col min="15" max="15" width="15.8515625" style="101" customWidth="1"/>
    <col min="16" max="16384" width="9.140625" style="101" customWidth="1"/>
  </cols>
  <sheetData>
    <row r="1" spans="1:15" ht="15">
      <c r="A1" s="99" t="s">
        <v>58</v>
      </c>
      <c r="B1" s="100"/>
      <c r="C1" s="100"/>
      <c r="D1" s="100"/>
      <c r="E1" s="100"/>
      <c r="F1" s="100"/>
      <c r="G1" s="100"/>
      <c r="H1" s="100"/>
      <c r="I1" s="100"/>
      <c r="J1" s="100"/>
      <c r="K1" s="100"/>
      <c r="L1" s="100"/>
      <c r="M1" s="100"/>
      <c r="N1" s="100"/>
      <c r="O1" s="100"/>
    </row>
    <row r="2" spans="1:15" ht="14.25">
      <c r="A2" s="100"/>
      <c r="B2" s="100"/>
      <c r="C2" s="100"/>
      <c r="D2" s="100"/>
      <c r="E2" s="100"/>
      <c r="F2" s="100"/>
      <c r="G2" s="100"/>
      <c r="H2" s="100"/>
      <c r="I2" s="100"/>
      <c r="J2" s="100"/>
      <c r="K2" s="100"/>
      <c r="L2" s="100"/>
      <c r="M2" s="100"/>
      <c r="N2" s="100"/>
      <c r="O2" s="100"/>
    </row>
    <row r="3" spans="1:15" ht="14.25">
      <c r="A3" s="100" t="s">
        <v>60</v>
      </c>
      <c r="B3" s="100"/>
      <c r="C3" s="100"/>
      <c r="D3" s="100"/>
      <c r="E3" s="100"/>
      <c r="F3" s="100"/>
      <c r="G3" s="100"/>
      <c r="H3" s="100"/>
      <c r="I3" s="100"/>
      <c r="J3" s="100"/>
      <c r="K3" s="100"/>
      <c r="L3" s="100"/>
      <c r="M3" s="102" t="s">
        <v>61</v>
      </c>
      <c r="N3" s="102" t="s">
        <v>62</v>
      </c>
      <c r="O3" s="100"/>
    </row>
    <row r="4" spans="1:15" ht="14.25">
      <c r="A4" s="100" t="s">
        <v>63</v>
      </c>
      <c r="B4" s="100"/>
      <c r="C4" s="100"/>
      <c r="D4" s="100"/>
      <c r="E4" s="100"/>
      <c r="F4" s="100"/>
      <c r="G4" s="100"/>
      <c r="H4" s="100"/>
      <c r="I4" s="100"/>
      <c r="J4" s="100"/>
      <c r="K4" s="100"/>
      <c r="L4" s="100"/>
      <c r="M4" s="102"/>
      <c r="N4" s="102" t="s">
        <v>62</v>
      </c>
      <c r="O4" s="100"/>
    </row>
    <row r="5" spans="1:15" ht="14.25">
      <c r="A5" s="100" t="s">
        <v>64</v>
      </c>
      <c r="B5" s="100"/>
      <c r="C5" s="100"/>
      <c r="D5" s="100"/>
      <c r="E5" s="100"/>
      <c r="F5" s="100"/>
      <c r="G5" s="100"/>
      <c r="H5" s="100"/>
      <c r="I5" s="100"/>
      <c r="J5" s="100"/>
      <c r="K5" s="100"/>
      <c r="L5" s="100"/>
      <c r="M5" s="102"/>
      <c r="N5" s="102" t="s">
        <v>62</v>
      </c>
      <c r="O5" s="100"/>
    </row>
    <row r="6" spans="1:15" ht="14.25">
      <c r="A6" s="100" t="s">
        <v>65</v>
      </c>
      <c r="B6" s="100"/>
      <c r="C6" s="100"/>
      <c r="D6" s="100"/>
      <c r="E6" s="100"/>
      <c r="F6" s="100"/>
      <c r="G6" s="100"/>
      <c r="H6" s="100"/>
      <c r="I6" s="100"/>
      <c r="J6" s="100"/>
      <c r="K6" s="100"/>
      <c r="L6" s="100"/>
      <c r="M6" s="102" t="s">
        <v>66</v>
      </c>
      <c r="N6" s="102" t="s">
        <v>67</v>
      </c>
      <c r="O6" s="100"/>
    </row>
    <row r="7" spans="1:15" ht="14.25">
      <c r="A7" s="100" t="s">
        <v>68</v>
      </c>
      <c r="B7" s="100"/>
      <c r="C7" s="100"/>
      <c r="D7" s="100"/>
      <c r="E7" s="100"/>
      <c r="F7" s="100"/>
      <c r="G7" s="100"/>
      <c r="H7" s="100"/>
      <c r="I7" s="100"/>
      <c r="J7" s="100"/>
      <c r="K7" s="100"/>
      <c r="L7" s="100"/>
      <c r="M7" s="100"/>
      <c r="N7" s="100"/>
      <c r="O7" s="100"/>
    </row>
    <row r="8" spans="1:15" ht="14.25">
      <c r="A8" s="100" t="s">
        <v>69</v>
      </c>
      <c r="B8" s="100"/>
      <c r="C8" s="100"/>
      <c r="D8" s="100"/>
      <c r="E8" s="100"/>
      <c r="F8" s="100"/>
      <c r="G8" s="100"/>
      <c r="H8" s="100"/>
      <c r="I8" s="100"/>
      <c r="J8" s="100"/>
      <c r="K8" s="100"/>
      <c r="L8" s="100"/>
      <c r="M8" s="100"/>
      <c r="N8" s="100"/>
      <c r="O8" s="100"/>
    </row>
    <row r="9" spans="1:15" ht="14.25">
      <c r="A9" s="100" t="s">
        <v>70</v>
      </c>
      <c r="B9" s="100"/>
      <c r="C9" s="100"/>
      <c r="D9" s="100"/>
      <c r="E9" s="100"/>
      <c r="F9" s="100"/>
      <c r="G9" s="100"/>
      <c r="H9" s="100"/>
      <c r="I9" s="100"/>
      <c r="J9" s="100"/>
      <c r="K9" s="100"/>
      <c r="L9" s="100"/>
      <c r="M9" s="100"/>
      <c r="N9" s="100"/>
      <c r="O9" s="100"/>
    </row>
    <row r="11" spans="1:2" ht="14.25">
      <c r="A11" s="238" t="s">
        <v>135</v>
      </c>
      <c r="B11" s="239" t="s">
        <v>59</v>
      </c>
    </row>
    <row r="15" spans="1:15" ht="15" thickBot="1">
      <c r="A15" s="103" t="s">
        <v>71</v>
      </c>
      <c r="B15" s="103"/>
      <c r="C15" s="103"/>
      <c r="D15" s="103"/>
      <c r="E15" s="103"/>
      <c r="F15" s="103"/>
      <c r="G15" s="103"/>
      <c r="H15" s="103"/>
      <c r="I15" s="103"/>
      <c r="J15" s="103"/>
      <c r="K15" s="103"/>
      <c r="L15" s="103"/>
      <c r="M15" s="103"/>
      <c r="N15" s="103"/>
      <c r="O15" s="103"/>
    </row>
    <row r="16" spans="1:15" ht="15">
      <c r="A16" s="241" t="s">
        <v>72</v>
      </c>
      <c r="B16" s="242"/>
      <c r="C16" s="242"/>
      <c r="D16" s="242"/>
      <c r="E16" s="242"/>
      <c r="F16" s="242"/>
      <c r="G16" s="242"/>
      <c r="H16" s="242"/>
      <c r="I16" s="242"/>
      <c r="J16" s="242"/>
      <c r="K16" s="242"/>
      <c r="L16" s="242"/>
      <c r="M16" s="242" t="s">
        <v>73</v>
      </c>
      <c r="N16" s="242"/>
      <c r="O16" s="243" t="s">
        <v>74</v>
      </c>
    </row>
    <row r="17" spans="1:15" ht="18.75">
      <c r="A17" s="246" t="s">
        <v>75</v>
      </c>
      <c r="B17" s="185" t="s">
        <v>76</v>
      </c>
      <c r="C17" s="104" t="s">
        <v>77</v>
      </c>
      <c r="D17" s="104" t="s">
        <v>78</v>
      </c>
      <c r="E17" s="104" t="s">
        <v>79</v>
      </c>
      <c r="F17" s="104" t="s">
        <v>80</v>
      </c>
      <c r="G17" s="105" t="s">
        <v>81</v>
      </c>
      <c r="H17" s="104" t="s">
        <v>82</v>
      </c>
      <c r="I17" s="106" t="s">
        <v>110</v>
      </c>
      <c r="J17" s="107" t="s">
        <v>83</v>
      </c>
      <c r="K17" s="104" t="s">
        <v>84</v>
      </c>
      <c r="L17" s="108" t="s">
        <v>85</v>
      </c>
      <c r="M17" s="104" t="s">
        <v>84</v>
      </c>
      <c r="N17" s="108" t="s">
        <v>86</v>
      </c>
      <c r="O17" s="244"/>
    </row>
    <row r="18" spans="1:15" ht="18" thickBot="1">
      <c r="A18" s="247"/>
      <c r="B18" s="186"/>
      <c r="C18" s="109" t="s">
        <v>87</v>
      </c>
      <c r="D18" s="109" t="s">
        <v>11</v>
      </c>
      <c r="E18" s="109" t="s">
        <v>14</v>
      </c>
      <c r="F18" s="109" t="s">
        <v>87</v>
      </c>
      <c r="G18" s="110" t="s">
        <v>88</v>
      </c>
      <c r="H18" s="109" t="s">
        <v>89</v>
      </c>
      <c r="I18" s="111" t="s">
        <v>16</v>
      </c>
      <c r="J18" s="112" t="s">
        <v>15</v>
      </c>
      <c r="K18" s="113" t="s">
        <v>15</v>
      </c>
      <c r="L18" s="114" t="s">
        <v>16</v>
      </c>
      <c r="M18" s="113" t="s">
        <v>15</v>
      </c>
      <c r="N18" s="114" t="s">
        <v>16</v>
      </c>
      <c r="O18" s="245"/>
    </row>
    <row r="19" spans="1:15" ht="14.25">
      <c r="A19" s="115" t="s">
        <v>90</v>
      </c>
      <c r="B19" s="116" t="s">
        <v>91</v>
      </c>
      <c r="C19" s="117">
        <v>865</v>
      </c>
      <c r="D19" s="118">
        <v>9</v>
      </c>
      <c r="E19" s="119">
        <v>0.402</v>
      </c>
      <c r="F19" s="117">
        <v>675</v>
      </c>
      <c r="G19" s="120">
        <v>1.1544310758332728</v>
      </c>
      <c r="H19" s="121">
        <v>8</v>
      </c>
      <c r="I19" s="122">
        <v>43.6</v>
      </c>
      <c r="J19" s="123">
        <f>IF(AND(ISNUMBER(D19),ISNUMBER(E19)),D19*E19,"-")</f>
        <v>3.6180000000000003</v>
      </c>
      <c r="K19" s="120">
        <f aca="true" t="shared" si="0" ref="K19:K26">IF(F19&lt;&gt;"",2*PI()*F19/60*G19/100,"-")</f>
        <v>0.8160192420555535</v>
      </c>
      <c r="L19" s="118">
        <f>IF(ISNUMBER(K19),IF(J19&lt;&gt;0,100*K19/J19,"-"),"-")</f>
        <v>22.554429023094347</v>
      </c>
      <c r="M19" s="120">
        <f aca="true" t="shared" si="1" ref="M19:M26">IF(AND(ISNUMBER(J19),ISNUMBER(N19)),J19*N19/100,"-")</f>
        <v>1.8716037661824623</v>
      </c>
      <c r="N19" s="118">
        <f aca="true" t="shared" si="2" ref="N19:N26">IF(I19&lt;&gt;0,100*L19/I19,"-")</f>
        <v>51.730341796087956</v>
      </c>
      <c r="O19" s="124" t="s">
        <v>92</v>
      </c>
    </row>
    <row r="20" spans="1:15" ht="14.25">
      <c r="A20" s="125" t="s">
        <v>93</v>
      </c>
      <c r="B20" s="127" t="s">
        <v>91</v>
      </c>
      <c r="C20" s="128"/>
      <c r="D20" s="129"/>
      <c r="E20" s="130"/>
      <c r="F20" s="128"/>
      <c r="G20" s="131"/>
      <c r="H20" s="132">
        <v>20</v>
      </c>
      <c r="I20" s="133"/>
      <c r="J20" s="134" t="str">
        <f aca="true" t="shared" si="3" ref="J20:J26">IF(AND(ISNUMBER(D20),ISNUMBER(E20)),D20*E20,"-")</f>
        <v>-</v>
      </c>
      <c r="K20" s="135" t="str">
        <f t="shared" si="0"/>
        <v>-</v>
      </c>
      <c r="L20" s="136" t="str">
        <f aca="true" t="shared" si="4" ref="L20:L26">IF(ISNUMBER(K20),IF(J20&lt;&gt;0,100*K20/J20,"-"),"-")</f>
        <v>-</v>
      </c>
      <c r="M20" s="135" t="str">
        <f t="shared" si="1"/>
        <v>-</v>
      </c>
      <c r="N20" s="136" t="str">
        <f t="shared" si="2"/>
        <v>-</v>
      </c>
      <c r="O20" s="137"/>
    </row>
    <row r="21" spans="1:15" ht="14.25">
      <c r="A21" s="125" t="s">
        <v>94</v>
      </c>
      <c r="B21" s="127" t="s">
        <v>91</v>
      </c>
      <c r="C21" s="128"/>
      <c r="D21" s="129"/>
      <c r="E21" s="130"/>
      <c r="F21" s="128"/>
      <c r="G21" s="131"/>
      <c r="H21" s="132">
        <v>50</v>
      </c>
      <c r="I21" s="133"/>
      <c r="J21" s="134" t="str">
        <f t="shared" si="3"/>
        <v>-</v>
      </c>
      <c r="K21" s="135" t="str">
        <f t="shared" si="0"/>
        <v>-</v>
      </c>
      <c r="L21" s="136" t="str">
        <f t="shared" si="4"/>
        <v>-</v>
      </c>
      <c r="M21" s="135" t="str">
        <f t="shared" si="1"/>
        <v>-</v>
      </c>
      <c r="N21" s="136" t="str">
        <f t="shared" si="2"/>
        <v>-</v>
      </c>
      <c r="O21" s="137"/>
    </row>
    <row r="22" spans="1:15" ht="14.25">
      <c r="A22" s="138" t="s">
        <v>95</v>
      </c>
      <c r="B22" s="139" t="s">
        <v>96</v>
      </c>
      <c r="C22" s="128">
        <v>9839</v>
      </c>
      <c r="D22" s="129">
        <v>9</v>
      </c>
      <c r="E22" s="130">
        <v>0.208</v>
      </c>
      <c r="F22" s="128">
        <v>7684</v>
      </c>
      <c r="G22" s="131">
        <v>0.12</v>
      </c>
      <c r="H22" s="140">
        <v>1</v>
      </c>
      <c r="I22" s="133">
        <v>100</v>
      </c>
      <c r="J22" s="141">
        <f t="shared" si="3"/>
        <v>1.8719999999999999</v>
      </c>
      <c r="K22" s="131">
        <f t="shared" si="0"/>
        <v>0.9655999180073587</v>
      </c>
      <c r="L22" s="129">
        <f t="shared" si="4"/>
        <v>51.581192201247795</v>
      </c>
      <c r="M22" s="131">
        <f t="shared" si="1"/>
        <v>0.9655999180073587</v>
      </c>
      <c r="N22" s="129">
        <f t="shared" si="2"/>
        <v>51.581192201247795</v>
      </c>
      <c r="O22" s="142" t="s">
        <v>92</v>
      </c>
    </row>
    <row r="23" spans="1:15" ht="14.25">
      <c r="A23" s="138" t="s">
        <v>97</v>
      </c>
      <c r="B23" s="139" t="s">
        <v>98</v>
      </c>
      <c r="C23" s="128">
        <v>150</v>
      </c>
      <c r="D23" s="129">
        <v>9</v>
      </c>
      <c r="E23" s="130">
        <v>0.218</v>
      </c>
      <c r="F23" s="128">
        <v>115</v>
      </c>
      <c r="G23" s="131">
        <v>0.83</v>
      </c>
      <c r="H23" s="143">
        <v>64.8</v>
      </c>
      <c r="I23" s="133">
        <v>10.7</v>
      </c>
      <c r="J23" s="141">
        <f t="shared" si="3"/>
        <v>1.962</v>
      </c>
      <c r="K23" s="131">
        <f t="shared" si="0"/>
        <v>0.09995500626171525</v>
      </c>
      <c r="L23" s="129">
        <f t="shared" si="4"/>
        <v>5.094546700393234</v>
      </c>
      <c r="M23" s="131">
        <f t="shared" si="1"/>
        <v>0.9341589370253763</v>
      </c>
      <c r="N23" s="129">
        <f t="shared" si="2"/>
        <v>47.612585984983504</v>
      </c>
      <c r="O23" s="142" t="s">
        <v>92</v>
      </c>
    </row>
    <row r="24" spans="1:15" ht="14.25">
      <c r="A24" s="125" t="s">
        <v>99</v>
      </c>
      <c r="B24" s="127" t="s">
        <v>100</v>
      </c>
      <c r="C24" s="144"/>
      <c r="D24" s="136"/>
      <c r="E24" s="145"/>
      <c r="F24" s="146"/>
      <c r="G24" s="135"/>
      <c r="H24" s="132"/>
      <c r="I24" s="147"/>
      <c r="J24" s="134" t="str">
        <f t="shared" si="3"/>
        <v>-</v>
      </c>
      <c r="K24" s="135" t="str">
        <f t="shared" si="0"/>
        <v>-</v>
      </c>
      <c r="L24" s="136" t="str">
        <f t="shared" si="4"/>
        <v>-</v>
      </c>
      <c r="M24" s="135" t="str">
        <f t="shared" si="1"/>
        <v>-</v>
      </c>
      <c r="N24" s="136" t="str">
        <f t="shared" si="2"/>
        <v>-</v>
      </c>
      <c r="O24" s="137"/>
    </row>
    <row r="25" spans="1:15" ht="14.25">
      <c r="A25" s="125" t="s">
        <v>101</v>
      </c>
      <c r="B25" s="127" t="s">
        <v>102</v>
      </c>
      <c r="C25" s="144"/>
      <c r="D25" s="136"/>
      <c r="E25" s="145"/>
      <c r="F25" s="146"/>
      <c r="G25" s="135"/>
      <c r="H25" s="132"/>
      <c r="I25" s="147"/>
      <c r="J25" s="134" t="str">
        <f t="shared" si="3"/>
        <v>-</v>
      </c>
      <c r="K25" s="135" t="str">
        <f t="shared" si="0"/>
        <v>-</v>
      </c>
      <c r="L25" s="136" t="str">
        <f t="shared" si="4"/>
        <v>-</v>
      </c>
      <c r="M25" s="135" t="str">
        <f t="shared" si="1"/>
        <v>-</v>
      </c>
      <c r="N25" s="136" t="str">
        <f t="shared" si="2"/>
        <v>-</v>
      </c>
      <c r="O25" s="137"/>
    </row>
    <row r="26" spans="1:15" ht="15" thickBot="1">
      <c r="A26" s="148" t="s">
        <v>103</v>
      </c>
      <c r="B26" s="149" t="s">
        <v>104</v>
      </c>
      <c r="C26" s="150"/>
      <c r="D26" s="151"/>
      <c r="E26" s="152"/>
      <c r="F26" s="153"/>
      <c r="G26" s="154"/>
      <c r="H26" s="155"/>
      <c r="I26" s="156"/>
      <c r="J26" s="157" t="str">
        <f t="shared" si="3"/>
        <v>-</v>
      </c>
      <c r="K26" s="154" t="str">
        <f t="shared" si="0"/>
        <v>-</v>
      </c>
      <c r="L26" s="151" t="str">
        <f t="shared" si="4"/>
        <v>-</v>
      </c>
      <c r="M26" s="154" t="str">
        <f t="shared" si="1"/>
        <v>-</v>
      </c>
      <c r="N26" s="151" t="str">
        <f t="shared" si="2"/>
        <v>-</v>
      </c>
      <c r="O26" s="158"/>
    </row>
    <row r="27" spans="9:10" ht="14.25">
      <c r="I27" s="159" t="s">
        <v>105</v>
      </c>
      <c r="J27" s="160" t="s">
        <v>138</v>
      </c>
    </row>
    <row r="29" spans="1:15" ht="14.25">
      <c r="A29" s="240" t="s">
        <v>122</v>
      </c>
      <c r="B29" s="240"/>
      <c r="C29" s="240"/>
      <c r="D29" s="240"/>
      <c r="E29" s="240"/>
      <c r="F29" s="240"/>
      <c r="G29" s="240"/>
      <c r="H29" s="240"/>
      <c r="I29" s="240"/>
      <c r="J29" s="240"/>
      <c r="K29" s="240"/>
      <c r="L29" s="240"/>
      <c r="M29" s="240"/>
      <c r="N29" s="240"/>
      <c r="O29" s="240"/>
    </row>
  </sheetData>
  <sheetProtection/>
  <mergeCells count="6">
    <mergeCell ref="A29:O29"/>
    <mergeCell ref="A16:L16"/>
    <mergeCell ref="M16:N16"/>
    <mergeCell ref="O16:O18"/>
    <mergeCell ref="A17:A18"/>
    <mergeCell ref="B17:B18"/>
  </mergeCells>
  <hyperlinks>
    <hyperlink ref="B11" r:id="rId1" display="http://www.fischertechnik.de/desktopdefault.aspx/tabid-51/68_read-12/usetemplate-1_column_no_pano/"/>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2"/>
</worksheet>
</file>

<file path=xl/worksheets/sheet2.xml><?xml version="1.0" encoding="utf-8"?>
<worksheet xmlns="http://schemas.openxmlformats.org/spreadsheetml/2006/main" xmlns:r="http://schemas.openxmlformats.org/officeDocument/2006/relationships">
  <sheetPr>
    <pageSetUpPr fitToPage="1"/>
  </sheetPr>
  <dimension ref="A1:O48"/>
  <sheetViews>
    <sheetView zoomScale="80" zoomScaleNormal="80" zoomScalePageLayoutView="0" workbookViewId="0" topLeftCell="A1">
      <selection activeCell="A13" sqref="A13"/>
    </sheetView>
  </sheetViews>
  <sheetFormatPr defaultColWidth="9.140625" defaultRowHeight="15"/>
  <cols>
    <col min="1" max="1" width="19.421875" style="162" customWidth="1"/>
    <col min="2" max="2" width="26.57421875" style="162" bestFit="1" customWidth="1"/>
    <col min="3" max="3" width="11.00390625" style="162" bestFit="1" customWidth="1"/>
    <col min="4" max="5" width="8.421875" style="162" customWidth="1"/>
    <col min="6" max="6" width="11.00390625" style="162" customWidth="1"/>
    <col min="7" max="9" width="8.421875" style="162" customWidth="1"/>
    <col min="10" max="10" width="8.57421875" style="162" bestFit="1" customWidth="1"/>
    <col min="11" max="11" width="8.421875" style="162" customWidth="1"/>
    <col min="12" max="12" width="8.57421875" style="162" customWidth="1"/>
    <col min="13" max="14" width="9.421875" style="162" customWidth="1"/>
    <col min="15" max="15" width="15.8515625" style="162" customWidth="1"/>
    <col min="16" max="16384" width="9.140625" style="162" customWidth="1"/>
  </cols>
  <sheetData>
    <row r="1" spans="1:7" ht="15" thickBot="1">
      <c r="A1" s="163" t="s">
        <v>123</v>
      </c>
      <c r="B1" s="163"/>
      <c r="C1" s="163"/>
      <c r="D1" s="163"/>
      <c r="E1" s="163"/>
      <c r="F1" s="163"/>
      <c r="G1" s="163"/>
    </row>
    <row r="2" spans="1:7" ht="15">
      <c r="A2" s="126" t="s">
        <v>75</v>
      </c>
      <c r="B2" s="255" t="s">
        <v>76</v>
      </c>
      <c r="C2" s="164" t="s">
        <v>106</v>
      </c>
      <c r="D2" s="164" t="s">
        <v>107</v>
      </c>
      <c r="E2" s="164" t="s">
        <v>108</v>
      </c>
      <c r="F2" s="164" t="s">
        <v>109</v>
      </c>
      <c r="G2" s="165" t="s">
        <v>110</v>
      </c>
    </row>
    <row r="3" spans="1:7" ht="16.5" thickBot="1">
      <c r="A3" s="247"/>
      <c r="B3" s="186"/>
      <c r="C3" s="166" t="s">
        <v>111</v>
      </c>
      <c r="D3" s="166" t="s">
        <v>30</v>
      </c>
      <c r="E3" s="167" t="s">
        <v>15</v>
      </c>
      <c r="F3" s="166" t="s">
        <v>12</v>
      </c>
      <c r="G3" s="168" t="s">
        <v>16</v>
      </c>
    </row>
    <row r="4" spans="1:7" ht="14.25">
      <c r="A4" s="169" t="s">
        <v>90</v>
      </c>
      <c r="B4" s="170" t="s">
        <v>91</v>
      </c>
      <c r="C4" s="171">
        <v>0.009583780160857909</v>
      </c>
      <c r="D4" s="171">
        <v>0.03991655172413793</v>
      </c>
      <c r="E4" s="172">
        <v>6.293565683646114</v>
      </c>
      <c r="F4" s="171">
        <v>0.004522071724137931</v>
      </c>
      <c r="G4" s="173">
        <f>100*PI()*D4/(30*C4)</f>
        <v>43.61589531075776</v>
      </c>
    </row>
    <row r="5" spans="1:7" ht="14.25">
      <c r="A5" s="174" t="s">
        <v>93</v>
      </c>
      <c r="B5" s="175" t="s">
        <v>91</v>
      </c>
      <c r="C5" s="176"/>
      <c r="D5" s="176"/>
      <c r="E5" s="177"/>
      <c r="F5" s="176"/>
      <c r="G5" s="178"/>
    </row>
    <row r="6" spans="1:7" ht="14.25">
      <c r="A6" s="174" t="s">
        <v>94</v>
      </c>
      <c r="B6" s="175" t="s">
        <v>91</v>
      </c>
      <c r="C6" s="176"/>
      <c r="D6" s="176"/>
      <c r="E6" s="177"/>
      <c r="F6" s="176"/>
      <c r="G6" s="178"/>
    </row>
    <row r="7" spans="1:7" ht="14.25">
      <c r="A7" s="179" t="s">
        <v>95</v>
      </c>
      <c r="B7" s="180" t="s">
        <v>96</v>
      </c>
      <c r="C7" s="176">
        <v>0.0008428</v>
      </c>
      <c r="D7" s="176">
        <v>0.008048147162270964</v>
      </c>
      <c r="E7" s="177">
        <v>12.15</v>
      </c>
      <c r="F7" s="176">
        <v>0.000469</v>
      </c>
      <c r="G7" s="178">
        <v>100.00000000000001</v>
      </c>
    </row>
    <row r="8" spans="1:7" ht="14.25">
      <c r="A8" s="179" t="s">
        <v>97</v>
      </c>
      <c r="B8" s="180" t="s">
        <v>98</v>
      </c>
      <c r="C8" s="176">
        <v>0.054208786017949914</v>
      </c>
      <c r="D8" s="176">
        <v>0.05514810810810812</v>
      </c>
      <c r="E8" s="177">
        <v>12.673594709494589</v>
      </c>
      <c r="F8" s="176">
        <v>0.0037018167567567577</v>
      </c>
      <c r="G8" s="178">
        <f>100*PI()*D8/(30*C8)</f>
        <v>10.653432405738293</v>
      </c>
    </row>
    <row r="9" spans="1:7" ht="14.25">
      <c r="A9" s="174" t="s">
        <v>99</v>
      </c>
      <c r="B9" s="175" t="s">
        <v>100</v>
      </c>
      <c r="C9" s="176"/>
      <c r="D9" s="176"/>
      <c r="E9" s="177"/>
      <c r="F9" s="176"/>
      <c r="G9" s="178"/>
    </row>
    <row r="10" spans="1:7" ht="14.25">
      <c r="A10" s="174" t="s">
        <v>101</v>
      </c>
      <c r="B10" s="175" t="s">
        <v>102</v>
      </c>
      <c r="C10" s="176"/>
      <c r="D10" s="176"/>
      <c r="E10" s="177"/>
      <c r="F10" s="176"/>
      <c r="G10" s="178"/>
    </row>
    <row r="11" spans="1:7" ht="14.25">
      <c r="A11" s="181" t="s">
        <v>103</v>
      </c>
      <c r="B11" s="182" t="s">
        <v>104</v>
      </c>
      <c r="C11" s="183"/>
      <c r="D11" s="183"/>
      <c r="E11" s="184"/>
      <c r="F11" s="183"/>
      <c r="G11" s="187"/>
    </row>
    <row r="12" spans="1:7" ht="14.25">
      <c r="A12" s="181"/>
      <c r="B12" s="182"/>
      <c r="C12" s="183"/>
      <c r="D12" s="183"/>
      <c r="E12" s="184"/>
      <c r="F12" s="183"/>
      <c r="G12" s="187"/>
    </row>
    <row r="13" spans="1:7" ht="14.25">
      <c r="A13" s="181"/>
      <c r="B13" s="182"/>
      <c r="C13" s="183"/>
      <c r="D13" s="183"/>
      <c r="E13" s="184"/>
      <c r="F13" s="183"/>
      <c r="G13" s="187"/>
    </row>
    <row r="14" spans="1:7" ht="15" thickBot="1">
      <c r="A14" s="188"/>
      <c r="B14" s="189"/>
      <c r="C14" s="190"/>
      <c r="D14" s="190"/>
      <c r="E14" s="191"/>
      <c r="F14" s="190"/>
      <c r="G14" s="192"/>
    </row>
    <row r="15" spans="1:7" ht="14.25">
      <c r="A15" s="193" t="s">
        <v>126</v>
      </c>
      <c r="B15" s="194"/>
      <c r="C15" s="195"/>
      <c r="D15" s="195"/>
      <c r="E15" s="196"/>
      <c r="F15" s="195"/>
      <c r="G15" s="197"/>
    </row>
    <row r="17" spans="1:12" ht="17.25" thickBot="1">
      <c r="A17" s="198" t="s">
        <v>124</v>
      </c>
      <c r="B17" s="199"/>
      <c r="C17" s="200" t="s">
        <v>112</v>
      </c>
      <c r="D17" s="201">
        <v>9</v>
      </c>
      <c r="E17" s="202" t="s">
        <v>11</v>
      </c>
      <c r="F17" s="198"/>
      <c r="G17" s="198"/>
      <c r="H17" s="198"/>
      <c r="I17" s="198"/>
      <c r="J17" s="198"/>
      <c r="K17" s="198"/>
      <c r="L17" s="198"/>
    </row>
    <row r="18" spans="1:12" ht="15">
      <c r="A18" s="126" t="s">
        <v>75</v>
      </c>
      <c r="B18" s="248" t="s">
        <v>76</v>
      </c>
      <c r="C18" s="251" t="s">
        <v>36</v>
      </c>
      <c r="D18" s="252"/>
      <c r="E18" s="251" t="s">
        <v>41</v>
      </c>
      <c r="F18" s="253"/>
      <c r="G18" s="253"/>
      <c r="H18" s="252"/>
      <c r="I18" s="251" t="s">
        <v>48</v>
      </c>
      <c r="J18" s="253"/>
      <c r="K18" s="253"/>
      <c r="L18" s="252"/>
    </row>
    <row r="19" spans="1:12" ht="16.5">
      <c r="A19" s="246"/>
      <c r="B19" s="249"/>
      <c r="C19" s="203" t="s">
        <v>77</v>
      </c>
      <c r="D19" s="204" t="s">
        <v>113</v>
      </c>
      <c r="E19" s="203" t="s">
        <v>114</v>
      </c>
      <c r="F19" s="205" t="s">
        <v>115</v>
      </c>
      <c r="G19" s="205" t="s">
        <v>116</v>
      </c>
      <c r="H19" s="206" t="s">
        <v>117</v>
      </c>
      <c r="I19" s="203" t="s">
        <v>118</v>
      </c>
      <c r="J19" s="205" t="s">
        <v>119</v>
      </c>
      <c r="K19" s="205" t="s">
        <v>120</v>
      </c>
      <c r="L19" s="206" t="s">
        <v>121</v>
      </c>
    </row>
    <row r="20" spans="1:12" ht="18" thickBot="1">
      <c r="A20" s="247"/>
      <c r="B20" s="250"/>
      <c r="C20" s="207" t="s">
        <v>87</v>
      </c>
      <c r="D20" s="208" t="s">
        <v>14</v>
      </c>
      <c r="E20" s="207" t="s">
        <v>87</v>
      </c>
      <c r="F20" s="209" t="s">
        <v>88</v>
      </c>
      <c r="G20" s="210" t="s">
        <v>14</v>
      </c>
      <c r="H20" s="211" t="s">
        <v>16</v>
      </c>
      <c r="I20" s="207" t="s">
        <v>87</v>
      </c>
      <c r="J20" s="209" t="s">
        <v>88</v>
      </c>
      <c r="K20" s="209" t="s">
        <v>14</v>
      </c>
      <c r="L20" s="211" t="s">
        <v>16</v>
      </c>
    </row>
    <row r="21" spans="1:12" ht="14.25">
      <c r="A21" s="212" t="str">
        <f aca="true" t="shared" si="0" ref="A21:B31">IF(ISBLANK(A4),"",A4)</f>
        <v>ft 35481</v>
      </c>
      <c r="B21" s="213" t="str">
        <f t="shared" si="0"/>
        <v>Power-Motor (m. Getr.)</v>
      </c>
      <c r="C21" s="214">
        <f aca="true" t="shared" si="1" ref="C21:C31">IF(AND(ISNUMBER($D$17),ISNUMBER(C4),ISNUMBER(D4),ISNUMBER(E4),ISNUMBER(F4)),$D$17/C4-E4*F4/(C4*D4),"-")</f>
        <v>864.6915453374124</v>
      </c>
      <c r="D21" s="215">
        <f aca="true" t="shared" si="2" ref="D21:D31">IF(AND(ISNUMBER(F4),ISNUMBER(D4)),F4/D4,"-")</f>
        <v>0.11328813559322033</v>
      </c>
      <c r="E21" s="214">
        <f aca="true" t="shared" si="3" ref="E21:E31">IF(AND(ISNUMBER($D$17),ISNUMBER(C4),ISNUMBER(D4),ISNUMBER(E4),ISNUMBER(F4)),($D$17-SQRT($D$17*E4*F4/D4))/C4,"-")</f>
        <v>674.7697013741913</v>
      </c>
      <c r="F21" s="216">
        <f aca="true" t="shared" si="4" ref="F21:F31">IF(AND(ISNUMBER(D4),ISNUMBER($D$17),ISNUMBER(C4),ISNUMBER(E21),ISNUMBER(E4),ISNUMBER(F4)),100*(D4*($D$17-C4*E21)/E4-F4),"-")</f>
        <v>1.1544310758332728</v>
      </c>
      <c r="G21" s="217">
        <f aca="true" t="shared" si="5" ref="G21:G31">IF(AND(ISNUMBER(F21),ISNUMBER(F4),ISNUMBER(D4)),(F21/100+F4)/D4,"-")</f>
        <v>0.4024992587913138</v>
      </c>
      <c r="H21" s="218">
        <f aca="true" t="shared" si="6" ref="H21:H31">IF(AND(ISNUMBER(F21),ISNUMBER(E21),ISNUMBER(G21),ISNUMBER($D$17)),200*PI()*F21/100*E21/(60*G21*$D$17),"-")</f>
        <v>22.518766935545365</v>
      </c>
      <c r="I21" s="214">
        <f>IF(ISNUMBER(C21),C21/2,"-")</f>
        <v>432.3457726687062</v>
      </c>
      <c r="J21" s="216">
        <f aca="true" t="shared" si="7" ref="J21:J31">IF(AND(ISNUMBER(K21),ISNUMBER(D4),ISNUMBER(F4)),100*(K21*D4-F4),"-")</f>
        <v>2.627993626528588</v>
      </c>
      <c r="K21" s="217">
        <f aca="true" t="shared" si="8" ref="K21:K31">IF(AND(ISNUMBER($D$17),ISNUMBER(E4),ISNUMBER(D21)),$D$17/(2*E4)+D21/2,"-")</f>
        <v>0.7716600422375045</v>
      </c>
      <c r="L21" s="218">
        <f aca="true" t="shared" si="9" ref="L21:L31">IF(AND(ISNUMBER(J21),ISNUMBER(I21),ISNUMBER($D$17),ISNUMBER(K21)),200*PI()*J21/100*I21/(60*$D$17*K21),"-")</f>
        <v>17.132298031399703</v>
      </c>
    </row>
    <row r="22" spans="1:12" ht="14.25">
      <c r="A22" s="219" t="str">
        <f t="shared" si="0"/>
        <v>ft 104589</v>
      </c>
      <c r="B22" s="220" t="str">
        <f t="shared" si="0"/>
        <v>Power-Motor (m. Getr.)</v>
      </c>
      <c r="C22" s="221" t="str">
        <f t="shared" si="1"/>
        <v>-</v>
      </c>
      <c r="D22" s="222" t="str">
        <f t="shared" si="2"/>
        <v>-</v>
      </c>
      <c r="E22" s="221" t="str">
        <f t="shared" si="3"/>
        <v>-</v>
      </c>
      <c r="F22" s="223" t="str">
        <f t="shared" si="4"/>
        <v>-</v>
      </c>
      <c r="G22" s="224" t="str">
        <f t="shared" si="5"/>
        <v>-</v>
      </c>
      <c r="H22" s="225" t="str">
        <f t="shared" si="6"/>
        <v>-</v>
      </c>
      <c r="I22" s="221" t="str">
        <f aca="true" t="shared" si="10" ref="I22:I31">IF(ISNUMBER(C22),C22/2,"-")</f>
        <v>-</v>
      </c>
      <c r="J22" s="223" t="str">
        <f t="shared" si="7"/>
        <v>-</v>
      </c>
      <c r="K22" s="224" t="str">
        <f t="shared" si="8"/>
        <v>-</v>
      </c>
      <c r="L22" s="225" t="str">
        <f t="shared" si="9"/>
        <v>-</v>
      </c>
    </row>
    <row r="23" spans="1:12" ht="14.25">
      <c r="A23" s="219" t="str">
        <f t="shared" si="0"/>
        <v>ft 104574</v>
      </c>
      <c r="B23" s="220" t="str">
        <f t="shared" si="0"/>
        <v>Power-Motor (m. Getr.)</v>
      </c>
      <c r="C23" s="221" t="str">
        <f t="shared" si="1"/>
        <v>-</v>
      </c>
      <c r="D23" s="222" t="str">
        <f t="shared" si="2"/>
        <v>-</v>
      </c>
      <c r="E23" s="221" t="str">
        <f t="shared" si="3"/>
        <v>-</v>
      </c>
      <c r="F23" s="223" t="str">
        <f t="shared" si="4"/>
        <v>-</v>
      </c>
      <c r="G23" s="224" t="str">
        <f t="shared" si="5"/>
        <v>-</v>
      </c>
      <c r="H23" s="225" t="str">
        <f t="shared" si="6"/>
        <v>-</v>
      </c>
      <c r="I23" s="221" t="str">
        <f t="shared" si="10"/>
        <v>-</v>
      </c>
      <c r="J23" s="223" t="str">
        <f t="shared" si="7"/>
        <v>-</v>
      </c>
      <c r="K23" s="224" t="str">
        <f t="shared" si="8"/>
        <v>-</v>
      </c>
      <c r="L23" s="225" t="str">
        <f t="shared" si="9"/>
        <v>-</v>
      </c>
    </row>
    <row r="24" spans="1:12" ht="14.25">
      <c r="A24" s="226" t="str">
        <f t="shared" si="0"/>
        <v>ft 32293</v>
      </c>
      <c r="B24" s="227" t="str">
        <f t="shared" si="0"/>
        <v>Mini-Motor</v>
      </c>
      <c r="C24" s="221">
        <f t="shared" si="1"/>
        <v>9838.594529712313</v>
      </c>
      <c r="D24" s="222">
        <f t="shared" si="2"/>
        <v>0.05827428233402994</v>
      </c>
      <c r="E24" s="221">
        <f t="shared" si="3"/>
        <v>7683.507277083356</v>
      </c>
      <c r="F24" s="223">
        <f t="shared" si="4"/>
        <v>0.12031201930716104</v>
      </c>
      <c r="G24" s="224">
        <f t="shared" si="5"/>
        <v>0.207764614557543</v>
      </c>
      <c r="H24" s="225">
        <f t="shared" si="6"/>
        <v>51.770582184557455</v>
      </c>
      <c r="I24" s="221">
        <f t="shared" si="10"/>
        <v>4919.297264856156</v>
      </c>
      <c r="J24" s="223">
        <f t="shared" si="7"/>
        <v>0.2746295245285542</v>
      </c>
      <c r="K24" s="224">
        <f t="shared" si="8"/>
        <v>0.39950751153738534</v>
      </c>
      <c r="L24" s="225">
        <f t="shared" si="9"/>
        <v>39.34698422991531</v>
      </c>
    </row>
    <row r="25" spans="1:12" ht="14.25">
      <c r="A25" s="226" t="str">
        <f t="shared" si="0"/>
        <v>ft 32293 + ft 31078</v>
      </c>
      <c r="B25" s="227" t="str">
        <f t="shared" si="0"/>
        <v>Mini-Motor + U-Getriebe</v>
      </c>
      <c r="C25" s="221">
        <f t="shared" si="1"/>
        <v>150.33144170442665</v>
      </c>
      <c r="D25" s="222">
        <f t="shared" si="2"/>
        <v>0.067125</v>
      </c>
      <c r="E25" s="221">
        <f t="shared" si="3"/>
        <v>114.9808730768961</v>
      </c>
      <c r="F25" s="223">
        <f t="shared" si="4"/>
        <v>0.8338671959203943</v>
      </c>
      <c r="G25" s="224">
        <f t="shared" si="5"/>
        <v>0.21833004121115906</v>
      </c>
      <c r="H25" s="225">
        <f t="shared" si="6"/>
        <v>5.109696474185006</v>
      </c>
      <c r="I25" s="221">
        <f t="shared" si="10"/>
        <v>75.16572085221333</v>
      </c>
      <c r="J25" s="223">
        <f t="shared" si="7"/>
        <v>1.7730472609019725</v>
      </c>
      <c r="K25" s="224">
        <f t="shared" si="8"/>
        <v>0.3886314526649267</v>
      </c>
      <c r="L25" s="225">
        <f t="shared" si="9"/>
        <v>3.990141538928246</v>
      </c>
    </row>
    <row r="26" spans="1:12" ht="14.25">
      <c r="A26" s="219" t="str">
        <f t="shared" si="0"/>
        <v>ft 135485</v>
      </c>
      <c r="B26" s="220" t="str">
        <f t="shared" si="0"/>
        <v>XM-Motor</v>
      </c>
      <c r="C26" s="221" t="str">
        <f t="shared" si="1"/>
        <v>-</v>
      </c>
      <c r="D26" s="222" t="str">
        <f t="shared" si="2"/>
        <v>-</v>
      </c>
      <c r="E26" s="221" t="str">
        <f t="shared" si="3"/>
        <v>-</v>
      </c>
      <c r="F26" s="223" t="str">
        <f t="shared" si="4"/>
        <v>-</v>
      </c>
      <c r="G26" s="224" t="str">
        <f t="shared" si="5"/>
        <v>-</v>
      </c>
      <c r="H26" s="225" t="str">
        <f t="shared" si="6"/>
        <v>-</v>
      </c>
      <c r="I26" s="221" t="str">
        <f t="shared" si="10"/>
        <v>-</v>
      </c>
      <c r="J26" s="223" t="str">
        <f t="shared" si="7"/>
        <v>-</v>
      </c>
      <c r="K26" s="224" t="str">
        <f t="shared" si="8"/>
        <v>-</v>
      </c>
      <c r="L26" s="225" t="str">
        <f t="shared" si="9"/>
        <v>-</v>
      </c>
    </row>
    <row r="27" spans="1:12" ht="14.25">
      <c r="A27" s="219" t="str">
        <f t="shared" si="0"/>
        <v>ft 137096</v>
      </c>
      <c r="B27" s="220" t="str">
        <f t="shared" si="0"/>
        <v>XS-Motor</v>
      </c>
      <c r="C27" s="221" t="str">
        <f t="shared" si="1"/>
        <v>-</v>
      </c>
      <c r="D27" s="222" t="str">
        <f t="shared" si="2"/>
        <v>-</v>
      </c>
      <c r="E27" s="221" t="str">
        <f t="shared" si="3"/>
        <v>-</v>
      </c>
      <c r="F27" s="223" t="str">
        <f t="shared" si="4"/>
        <v>-</v>
      </c>
      <c r="G27" s="224" t="str">
        <f t="shared" si="5"/>
        <v>-</v>
      </c>
      <c r="H27" s="225" t="str">
        <f t="shared" si="6"/>
        <v>-</v>
      </c>
      <c r="I27" s="221" t="str">
        <f t="shared" si="10"/>
        <v>-</v>
      </c>
      <c r="J27" s="223" t="str">
        <f t="shared" si="7"/>
        <v>-</v>
      </c>
      <c r="K27" s="224" t="str">
        <f t="shared" si="8"/>
        <v>-</v>
      </c>
      <c r="L27" s="225" t="str">
        <f t="shared" si="9"/>
        <v>-</v>
      </c>
    </row>
    <row r="28" spans="1:12" ht="14.25">
      <c r="A28" s="219" t="str">
        <f t="shared" si="0"/>
        <v>ft 135484</v>
      </c>
      <c r="B28" s="220" t="str">
        <f t="shared" si="0"/>
        <v>Encodermotor</v>
      </c>
      <c r="C28" s="221" t="str">
        <f t="shared" si="1"/>
        <v>-</v>
      </c>
      <c r="D28" s="222" t="str">
        <f t="shared" si="2"/>
        <v>-</v>
      </c>
      <c r="E28" s="221" t="str">
        <f t="shared" si="3"/>
        <v>-</v>
      </c>
      <c r="F28" s="223" t="str">
        <f t="shared" si="4"/>
        <v>-</v>
      </c>
      <c r="G28" s="224" t="str">
        <f t="shared" si="5"/>
        <v>-</v>
      </c>
      <c r="H28" s="225" t="str">
        <f>IF(AND(ISNUMBER(F28),ISNUMBER(E28),ISNUMBER(G28),ISNUMBER($D$17)),200*PI()*F28/100*E28/(60*G28*$D$17),"-")</f>
        <v>-</v>
      </c>
      <c r="I28" s="221" t="str">
        <f>IF(ISNUMBER(C28),C28/2,"-")</f>
        <v>-</v>
      </c>
      <c r="J28" s="223" t="str">
        <f t="shared" si="7"/>
        <v>-</v>
      </c>
      <c r="K28" s="224" t="str">
        <f t="shared" si="8"/>
        <v>-</v>
      </c>
      <c r="L28" s="225" t="str">
        <f>IF(AND(ISNUMBER(J28),ISNUMBER(I28),ISNUMBER($D$17),ISNUMBER(K28)),200*PI()*J28/100*I28/(60*$D$17*K28),"-")</f>
        <v>-</v>
      </c>
    </row>
    <row r="29" spans="1:12" ht="14.25">
      <c r="A29" s="219">
        <f t="shared" si="0"/>
      </c>
      <c r="B29" s="220">
        <f t="shared" si="0"/>
      </c>
      <c r="C29" s="221" t="str">
        <f t="shared" si="1"/>
        <v>-</v>
      </c>
      <c r="D29" s="222" t="str">
        <f t="shared" si="2"/>
        <v>-</v>
      </c>
      <c r="E29" s="221" t="str">
        <f t="shared" si="3"/>
        <v>-</v>
      </c>
      <c r="F29" s="223" t="str">
        <f t="shared" si="4"/>
        <v>-</v>
      </c>
      <c r="G29" s="224" t="str">
        <f t="shared" si="5"/>
        <v>-</v>
      </c>
      <c r="H29" s="225" t="str">
        <f>IF(AND(ISNUMBER(F29),ISNUMBER(E29),ISNUMBER(G29),ISNUMBER($D$17)),200*PI()*F29/100*E29/(60*G29*$D$17),"-")</f>
        <v>-</v>
      </c>
      <c r="I29" s="221" t="str">
        <f>IF(ISNUMBER(C29),C29/2,"-")</f>
        <v>-</v>
      </c>
      <c r="J29" s="223" t="str">
        <f t="shared" si="7"/>
        <v>-</v>
      </c>
      <c r="K29" s="224" t="str">
        <f t="shared" si="8"/>
        <v>-</v>
      </c>
      <c r="L29" s="225" t="str">
        <f>IF(AND(ISNUMBER(J29),ISNUMBER(I29),ISNUMBER($D$17),ISNUMBER(K29)),200*PI()*J29/100*I29/(60*$D$17*K29),"-")</f>
        <v>-</v>
      </c>
    </row>
    <row r="30" spans="1:12" ht="14.25">
      <c r="A30" s="219">
        <f>IF(ISBLANK(A13),"",A13)</f>
      </c>
      <c r="B30" s="220">
        <f t="shared" si="0"/>
      </c>
      <c r="C30" s="221" t="str">
        <f t="shared" si="1"/>
        <v>-</v>
      </c>
      <c r="D30" s="222" t="str">
        <f t="shared" si="2"/>
        <v>-</v>
      </c>
      <c r="E30" s="221" t="str">
        <f t="shared" si="3"/>
        <v>-</v>
      </c>
      <c r="F30" s="223" t="str">
        <f t="shared" si="4"/>
        <v>-</v>
      </c>
      <c r="G30" s="224" t="str">
        <f t="shared" si="5"/>
        <v>-</v>
      </c>
      <c r="H30" s="225" t="str">
        <f>IF(AND(ISNUMBER(F30),ISNUMBER(E30),ISNUMBER(G30),ISNUMBER($D$17)),200*PI()*F30/100*E30/(60*G30*$D$17),"-")</f>
        <v>-</v>
      </c>
      <c r="I30" s="221" t="str">
        <f>IF(ISNUMBER(C30),C30/2,"-")</f>
        <v>-</v>
      </c>
      <c r="J30" s="223" t="str">
        <f t="shared" si="7"/>
        <v>-</v>
      </c>
      <c r="K30" s="224" t="str">
        <f t="shared" si="8"/>
        <v>-</v>
      </c>
      <c r="L30" s="225" t="str">
        <f>IF(AND(ISNUMBER(J30),ISNUMBER(I30),ISNUMBER($D$17),ISNUMBER(K30)),200*PI()*J30/100*I30/(60*$D$17*K30),"-")</f>
        <v>-</v>
      </c>
    </row>
    <row r="31" spans="1:12" ht="15" thickBot="1">
      <c r="A31" s="228">
        <f>IF(ISBLANK(A14),"",A14)</f>
      </c>
      <c r="B31" s="229">
        <f t="shared" si="0"/>
      </c>
      <c r="C31" s="230" t="str">
        <f t="shared" si="1"/>
        <v>-</v>
      </c>
      <c r="D31" s="231" t="str">
        <f t="shared" si="2"/>
        <v>-</v>
      </c>
      <c r="E31" s="230" t="str">
        <f t="shared" si="3"/>
        <v>-</v>
      </c>
      <c r="F31" s="232" t="str">
        <f t="shared" si="4"/>
        <v>-</v>
      </c>
      <c r="G31" s="233" t="str">
        <f t="shared" si="5"/>
        <v>-</v>
      </c>
      <c r="H31" s="234" t="str">
        <f t="shared" si="6"/>
        <v>-</v>
      </c>
      <c r="I31" s="230" t="str">
        <f t="shared" si="10"/>
        <v>-</v>
      </c>
      <c r="J31" s="232" t="str">
        <f t="shared" si="7"/>
        <v>-</v>
      </c>
      <c r="K31" s="233" t="str">
        <f t="shared" si="8"/>
        <v>-</v>
      </c>
      <c r="L31" s="234" t="str">
        <f t="shared" si="9"/>
        <v>-</v>
      </c>
    </row>
    <row r="32" ht="14.25">
      <c r="A32" s="162" t="s">
        <v>125</v>
      </c>
    </row>
    <row r="34" spans="1:15" ht="14.25">
      <c r="A34" s="235" t="s">
        <v>127</v>
      </c>
      <c r="B34" s="235"/>
      <c r="C34" s="235" t="s">
        <v>134</v>
      </c>
      <c r="D34" s="237" t="s">
        <v>132</v>
      </c>
      <c r="E34" s="235"/>
      <c r="G34" s="235"/>
      <c r="H34" s="235"/>
      <c r="I34" s="235"/>
      <c r="J34" s="235"/>
      <c r="K34" s="235"/>
      <c r="L34" s="235"/>
      <c r="M34" s="235"/>
      <c r="N34" s="235"/>
      <c r="O34" s="235"/>
    </row>
    <row r="36" spans="1:12" ht="14.25" customHeight="1">
      <c r="A36" s="280" t="s">
        <v>131</v>
      </c>
      <c r="B36" s="281"/>
      <c r="C36" s="281"/>
      <c r="D36" s="281"/>
      <c r="E36" s="281"/>
      <c r="F36" s="281"/>
      <c r="G36" s="281"/>
      <c r="H36" s="281"/>
      <c r="I36" s="281"/>
      <c r="J36" s="281"/>
      <c r="K36" s="281"/>
      <c r="L36" s="282"/>
    </row>
    <row r="37" spans="1:12" ht="14.25">
      <c r="A37" s="283"/>
      <c r="B37" s="284"/>
      <c r="C37" s="284"/>
      <c r="D37" s="284"/>
      <c r="E37" s="284"/>
      <c r="F37" s="284"/>
      <c r="G37" s="284"/>
      <c r="H37" s="284"/>
      <c r="I37" s="284"/>
      <c r="J37" s="284"/>
      <c r="K37" s="284"/>
      <c r="L37" s="285"/>
    </row>
    <row r="38" spans="1:12" ht="14.25">
      <c r="A38" s="283"/>
      <c r="B38" s="284"/>
      <c r="C38" s="284"/>
      <c r="D38" s="284"/>
      <c r="E38" s="284"/>
      <c r="F38" s="284"/>
      <c r="G38" s="284"/>
      <c r="H38" s="284"/>
      <c r="I38" s="284"/>
      <c r="J38" s="284"/>
      <c r="K38" s="284"/>
      <c r="L38" s="285"/>
    </row>
    <row r="39" spans="1:12" ht="14.25">
      <c r="A39" s="283"/>
      <c r="B39" s="284"/>
      <c r="C39" s="284"/>
      <c r="D39" s="284"/>
      <c r="E39" s="284"/>
      <c r="F39" s="284"/>
      <c r="G39" s="284"/>
      <c r="H39" s="284"/>
      <c r="I39" s="284"/>
      <c r="J39" s="284"/>
      <c r="K39" s="284"/>
      <c r="L39" s="285"/>
    </row>
    <row r="40" spans="1:12" ht="14.25">
      <c r="A40" s="283"/>
      <c r="B40" s="284"/>
      <c r="C40" s="284"/>
      <c r="D40" s="284"/>
      <c r="E40" s="284"/>
      <c r="F40" s="284"/>
      <c r="G40" s="284"/>
      <c r="H40" s="284"/>
      <c r="I40" s="284"/>
      <c r="J40" s="284"/>
      <c r="K40" s="284"/>
      <c r="L40" s="285"/>
    </row>
    <row r="41" spans="1:12" ht="14.25">
      <c r="A41" s="286"/>
      <c r="B41" s="287"/>
      <c r="C41" s="287"/>
      <c r="D41" s="287"/>
      <c r="E41" s="287"/>
      <c r="F41" s="287"/>
      <c r="G41" s="287"/>
      <c r="H41" s="287"/>
      <c r="I41" s="287"/>
      <c r="J41" s="287"/>
      <c r="K41" s="287"/>
      <c r="L41" s="288"/>
    </row>
    <row r="42" spans="1:4" ht="14.25">
      <c r="A42" s="161"/>
      <c r="B42" s="161"/>
      <c r="C42" s="161"/>
      <c r="D42" s="161"/>
    </row>
    <row r="43" spans="1:4" ht="14.25">
      <c r="A43" s="161"/>
      <c r="B43" s="161"/>
      <c r="C43" s="161"/>
      <c r="D43" s="161"/>
    </row>
    <row r="44" spans="1:4" ht="14.25">
      <c r="A44" s="161"/>
      <c r="B44" s="161"/>
      <c r="C44" s="161"/>
      <c r="D44" s="161"/>
    </row>
    <row r="45" spans="1:4" ht="14.25">
      <c r="A45" s="161"/>
      <c r="B45" s="161"/>
      <c r="C45" s="161"/>
      <c r="D45" s="161"/>
    </row>
    <row r="46" spans="1:4" ht="14.25">
      <c r="A46" s="161"/>
      <c r="B46" s="161"/>
      <c r="C46" s="161"/>
      <c r="D46" s="161"/>
    </row>
    <row r="47" spans="1:4" ht="14.25">
      <c r="A47" s="161"/>
      <c r="B47" s="161"/>
      <c r="C47" s="161"/>
      <c r="D47" s="161"/>
    </row>
    <row r="48" spans="1:4" ht="14.25">
      <c r="A48" s="161"/>
      <c r="B48" s="161"/>
      <c r="C48" s="161"/>
      <c r="D48" s="161"/>
    </row>
  </sheetData>
  <sheetProtection sheet="1" objects="1" scenarios="1" selectLockedCells="1"/>
  <mergeCells count="8">
    <mergeCell ref="I18:L18"/>
    <mergeCell ref="A36:L41"/>
    <mergeCell ref="A2:A3"/>
    <mergeCell ref="B2:B3"/>
    <mergeCell ref="A18:A20"/>
    <mergeCell ref="B18:B20"/>
    <mergeCell ref="C18:D18"/>
    <mergeCell ref="E18:H18"/>
  </mergeCells>
  <hyperlinks>
    <hyperlink ref="D34" r:id="rId1" display="ft:pedia Heft3/2013"/>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2"/>
</worksheet>
</file>

<file path=xl/worksheets/sheet3.xml><?xml version="1.0" encoding="utf-8"?>
<worksheet xmlns="http://schemas.openxmlformats.org/spreadsheetml/2006/main" xmlns:r="http://schemas.openxmlformats.org/officeDocument/2006/relationships">
  <sheetPr>
    <pageSetUpPr fitToPage="1"/>
  </sheetPr>
  <dimension ref="B2:N59"/>
  <sheetViews>
    <sheetView zoomScale="75" zoomScaleNormal="75" zoomScalePageLayoutView="0" workbookViewId="0" topLeftCell="A1">
      <selection activeCell="B2" sqref="B2:N2"/>
    </sheetView>
  </sheetViews>
  <sheetFormatPr defaultColWidth="8.00390625" defaultRowHeight="15"/>
  <cols>
    <col min="1" max="1" width="0.9921875" style="1" customWidth="1"/>
    <col min="2" max="2" width="9.57421875" style="1" customWidth="1"/>
    <col min="3" max="3" width="11.421875" style="1" customWidth="1"/>
    <col min="4" max="4" width="8.421875" style="1" customWidth="1"/>
    <col min="5" max="5" width="0.9921875" style="1" customWidth="1"/>
    <col min="6" max="6" width="3.421875" style="1" customWidth="1"/>
    <col min="7" max="7" width="8.00390625" style="1" customWidth="1"/>
    <col min="8" max="8" width="6.8515625" style="1" customWidth="1"/>
    <col min="9" max="11" width="7.421875" style="1" customWidth="1"/>
    <col min="12" max="12" width="7.8515625" style="1" customWidth="1"/>
    <col min="13" max="13" width="0.9921875" style="1" customWidth="1"/>
    <col min="14" max="14" width="92.140625" style="1" customWidth="1"/>
    <col min="15" max="15" width="0.9921875" style="1" customWidth="1"/>
    <col min="16" max="16" width="65.421875" style="1" customWidth="1"/>
    <col min="17" max="17" width="0.9921875" style="1" customWidth="1"/>
    <col min="18" max="18" width="10.140625" style="1" bestFit="1" customWidth="1"/>
    <col min="19" max="20" width="8.00390625" style="1" customWidth="1"/>
    <col min="21" max="21" width="2.421875" style="1" customWidth="1"/>
    <col min="22" max="16384" width="8.00390625" style="1" customWidth="1"/>
  </cols>
  <sheetData>
    <row r="1" ht="6" customHeight="1" thickBot="1"/>
    <row r="2" spans="2:14" ht="21.75" thickBot="1">
      <c r="B2" s="268" t="s">
        <v>90</v>
      </c>
      <c r="C2" s="269"/>
      <c r="D2" s="269"/>
      <c r="E2" s="269"/>
      <c r="F2" s="269"/>
      <c r="G2" s="269"/>
      <c r="H2" s="269"/>
      <c r="I2" s="269"/>
      <c r="J2" s="269"/>
      <c r="K2" s="269"/>
      <c r="L2" s="269"/>
      <c r="M2" s="269"/>
      <c r="N2" s="270"/>
    </row>
    <row r="3" ht="6" customHeight="1" thickBot="1"/>
    <row r="4" spans="2:14" ht="15">
      <c r="B4" s="2" t="s">
        <v>0</v>
      </c>
      <c r="C4" s="3">
        <v>2</v>
      </c>
      <c r="D4" s="4" t="s">
        <v>1</v>
      </c>
      <c r="F4" s="271" t="str">
        <f>CONCATENATE("Charakteristik für ",C24,"V")</f>
        <v>Charakteristik für 9V</v>
      </c>
      <c r="G4" s="272"/>
      <c r="H4" s="272"/>
      <c r="I4" s="272"/>
      <c r="J4" s="272"/>
      <c r="K4" s="272"/>
      <c r="L4" s="273"/>
      <c r="N4" s="5"/>
    </row>
    <row r="5" spans="2:14" ht="15">
      <c r="B5" s="274" t="s">
        <v>2</v>
      </c>
      <c r="C5" s="275"/>
      <c r="D5" s="276"/>
      <c r="F5" s="6" t="s">
        <v>3</v>
      </c>
      <c r="G5" s="7" t="s">
        <v>4</v>
      </c>
      <c r="H5" s="7" t="s">
        <v>5</v>
      </c>
      <c r="I5" s="7" t="s">
        <v>6</v>
      </c>
      <c r="J5" s="8" t="s">
        <v>7</v>
      </c>
      <c r="K5" s="7" t="s">
        <v>8</v>
      </c>
      <c r="L5" s="9" t="s">
        <v>9</v>
      </c>
      <c r="N5" s="10"/>
    </row>
    <row r="6" spans="2:14" ht="17.25" thickBot="1">
      <c r="B6" s="11" t="s">
        <v>10</v>
      </c>
      <c r="C6" s="12">
        <v>9</v>
      </c>
      <c r="D6" s="13" t="s">
        <v>11</v>
      </c>
      <c r="F6" s="14"/>
      <c r="G6" s="15" t="s">
        <v>12</v>
      </c>
      <c r="H6" s="15" t="s">
        <v>13</v>
      </c>
      <c r="I6" s="15" t="s">
        <v>14</v>
      </c>
      <c r="J6" s="15" t="s">
        <v>15</v>
      </c>
      <c r="K6" s="15" t="s">
        <v>15</v>
      </c>
      <c r="L6" s="16" t="s">
        <v>16</v>
      </c>
      <c r="N6" s="10"/>
    </row>
    <row r="7" spans="2:14" ht="15">
      <c r="B7" s="11" t="s">
        <v>17</v>
      </c>
      <c r="C7" s="12">
        <v>0.113</v>
      </c>
      <c r="D7" s="13" t="s">
        <v>14</v>
      </c>
      <c r="F7" s="17">
        <v>0</v>
      </c>
      <c r="G7" s="18">
        <f aca="true" t="shared" si="0" ref="G7:G47">C$46*F7/COUNT(F$8:F$47)</f>
        <v>0</v>
      </c>
      <c r="H7" s="19">
        <f aca="true" t="shared" si="1" ref="H7:H47">($C$24-I7*$C$19)/$C$17</f>
        <v>865</v>
      </c>
      <c r="I7" s="20">
        <f aca="true" t="shared" si="2" ref="I7:I47">($C$20+G7)/$C$18</f>
        <v>0.113</v>
      </c>
      <c r="J7" s="21">
        <f aca="true" t="shared" si="3" ref="J7:J47">2*PI()*G7*H7/60</f>
        <v>0</v>
      </c>
      <c r="K7" s="22">
        <f aca="true" t="shared" si="4" ref="K7:K47">$C$24*I7</f>
        <v>1.0170000000000001</v>
      </c>
      <c r="L7" s="23">
        <f aca="true" t="shared" si="5" ref="L7:L47">100*J7/K7</f>
        <v>0</v>
      </c>
      <c r="M7" s="24">
        <f>100*G7</f>
        <v>0</v>
      </c>
      <c r="N7" s="10"/>
    </row>
    <row r="8" spans="2:14" ht="15">
      <c r="B8" s="11" t="s">
        <v>18</v>
      </c>
      <c r="C8" s="12">
        <v>0</v>
      </c>
      <c r="D8" s="13" t="s">
        <v>19</v>
      </c>
      <c r="F8" s="25">
        <v>1</v>
      </c>
      <c r="G8" s="26">
        <f t="shared" si="0"/>
        <v>0.001308576552631579</v>
      </c>
      <c r="H8" s="27">
        <f t="shared" si="1"/>
        <v>843.3749999999999</v>
      </c>
      <c r="I8" s="28">
        <f t="shared" si="2"/>
        <v>0.14589276315789473</v>
      </c>
      <c r="J8" s="29">
        <f t="shared" si="3"/>
        <v>0.11557089469289812</v>
      </c>
      <c r="K8" s="30">
        <f t="shared" si="4"/>
        <v>1.3130348684210527</v>
      </c>
      <c r="L8" s="31">
        <f t="shared" si="5"/>
        <v>8.80181459551597</v>
      </c>
      <c r="M8" s="24">
        <f aca="true" t="shared" si="6" ref="M8:M47">100*G8</f>
        <v>0.1308576552631579</v>
      </c>
      <c r="N8" s="10"/>
    </row>
    <row r="9" spans="2:14" ht="16.5">
      <c r="B9" s="32" t="s">
        <v>20</v>
      </c>
      <c r="C9" s="33">
        <v>865</v>
      </c>
      <c r="D9" s="34" t="s">
        <v>13</v>
      </c>
      <c r="F9" s="35">
        <v>2</v>
      </c>
      <c r="G9" s="36">
        <f t="shared" si="0"/>
        <v>0.002617153105263158</v>
      </c>
      <c r="H9" s="37">
        <f t="shared" si="1"/>
        <v>821.7499999999999</v>
      </c>
      <c r="I9" s="38">
        <f t="shared" si="2"/>
        <v>0.17878552631578948</v>
      </c>
      <c r="J9" s="39">
        <f t="shared" si="3"/>
        <v>0.2252150768374425</v>
      </c>
      <c r="K9" s="40">
        <f t="shared" si="4"/>
        <v>1.6090697368421054</v>
      </c>
      <c r="L9" s="41">
        <f t="shared" si="5"/>
        <v>13.996601370394327</v>
      </c>
      <c r="M9" s="24">
        <f t="shared" si="6"/>
        <v>0.2617153105263158</v>
      </c>
      <c r="N9" s="10"/>
    </row>
    <row r="10" spans="2:14" ht="13.5">
      <c r="B10" s="277" t="s">
        <v>21</v>
      </c>
      <c r="C10" s="278"/>
      <c r="D10" s="279"/>
      <c r="F10" s="25">
        <v>3</v>
      </c>
      <c r="G10" s="26">
        <f t="shared" si="0"/>
        <v>0.003925729657894737</v>
      </c>
      <c r="H10" s="27">
        <f t="shared" si="1"/>
        <v>800.125</v>
      </c>
      <c r="I10" s="28">
        <f t="shared" si="2"/>
        <v>0.2116782894736842</v>
      </c>
      <c r="J10" s="29">
        <f t="shared" si="3"/>
        <v>0.3289325464336332</v>
      </c>
      <c r="K10" s="30">
        <f t="shared" si="4"/>
        <v>1.9051046052631577</v>
      </c>
      <c r="L10" s="31">
        <f t="shared" si="5"/>
        <v>17.265852254249147</v>
      </c>
      <c r="M10" s="24">
        <f t="shared" si="6"/>
        <v>0.3925729657894737</v>
      </c>
      <c r="N10" s="10"/>
    </row>
    <row r="11" spans="2:14" ht="15">
      <c r="B11" s="11" t="s">
        <v>22</v>
      </c>
      <c r="C11" s="12">
        <v>9</v>
      </c>
      <c r="D11" s="13" t="s">
        <v>11</v>
      </c>
      <c r="F11" s="35">
        <v>4</v>
      </c>
      <c r="G11" s="36">
        <f t="shared" si="0"/>
        <v>0.005234306210526316</v>
      </c>
      <c r="H11" s="37">
        <f t="shared" si="1"/>
        <v>778.4999999999999</v>
      </c>
      <c r="I11" s="38">
        <f t="shared" si="2"/>
        <v>0.24457105263157897</v>
      </c>
      <c r="J11" s="39">
        <f t="shared" si="3"/>
        <v>0.42672330348147</v>
      </c>
      <c r="K11" s="40">
        <f t="shared" si="4"/>
        <v>2.2011394736842105</v>
      </c>
      <c r="L11" s="41">
        <f t="shared" si="5"/>
        <v>19.386472714844896</v>
      </c>
      <c r="M11" s="24">
        <f t="shared" si="6"/>
        <v>0.5234306210526316</v>
      </c>
      <c r="N11" s="10"/>
    </row>
    <row r="12" spans="2:14" ht="15">
      <c r="B12" s="11" t="s">
        <v>23</v>
      </c>
      <c r="C12" s="12">
        <v>0.402</v>
      </c>
      <c r="D12" s="13" t="s">
        <v>14</v>
      </c>
      <c r="F12" s="25">
        <v>5</v>
      </c>
      <c r="G12" s="26">
        <f t="shared" si="0"/>
        <v>0.006542882763157895</v>
      </c>
      <c r="H12" s="27">
        <f t="shared" si="1"/>
        <v>756.875</v>
      </c>
      <c r="I12" s="28">
        <f t="shared" si="2"/>
        <v>0.2774638157894737</v>
      </c>
      <c r="J12" s="29">
        <f t="shared" si="3"/>
        <v>0.5185873479809532</v>
      </c>
      <c r="K12" s="30">
        <f t="shared" si="4"/>
        <v>2.4971743421052635</v>
      </c>
      <c r="L12" s="31">
        <f t="shared" si="5"/>
        <v>20.766966055872327</v>
      </c>
      <c r="M12" s="24">
        <f t="shared" si="6"/>
        <v>0.6542882763157896</v>
      </c>
      <c r="N12" s="10"/>
    </row>
    <row r="13" spans="2:14" ht="15">
      <c r="B13" s="11" t="s">
        <v>24</v>
      </c>
      <c r="C13" s="12">
        <v>0.586</v>
      </c>
      <c r="D13" s="13" t="s">
        <v>19</v>
      </c>
      <c r="F13" s="35">
        <v>6</v>
      </c>
      <c r="G13" s="36">
        <f t="shared" si="0"/>
        <v>0.007851459315789474</v>
      </c>
      <c r="H13" s="37">
        <f t="shared" si="1"/>
        <v>735.25</v>
      </c>
      <c r="I13" s="38">
        <f t="shared" si="2"/>
        <v>0.31035657894736846</v>
      </c>
      <c r="J13" s="39">
        <f t="shared" si="3"/>
        <v>0.6045246799320825</v>
      </c>
      <c r="K13" s="40">
        <f t="shared" si="4"/>
        <v>2.793209210526316</v>
      </c>
      <c r="L13" s="41">
        <f t="shared" si="5"/>
        <v>21.642656685145816</v>
      </c>
      <c r="M13" s="24">
        <f t="shared" si="6"/>
        <v>0.7851459315789474</v>
      </c>
      <c r="N13" s="10"/>
    </row>
    <row r="14" spans="2:14" ht="17.25" thickBot="1">
      <c r="B14" s="42" t="s">
        <v>25</v>
      </c>
      <c r="C14" s="43">
        <v>675</v>
      </c>
      <c r="D14" s="44" t="s">
        <v>13</v>
      </c>
      <c r="F14" s="25">
        <v>7</v>
      </c>
      <c r="G14" s="26">
        <f t="shared" si="0"/>
        <v>0.009160035868421052</v>
      </c>
      <c r="H14" s="27">
        <f t="shared" si="1"/>
        <v>713.6249999999999</v>
      </c>
      <c r="I14" s="28">
        <f t="shared" si="2"/>
        <v>0.34324934210526314</v>
      </c>
      <c r="J14" s="29">
        <f t="shared" si="3"/>
        <v>0.684535299334858</v>
      </c>
      <c r="K14" s="30">
        <f t="shared" si="4"/>
        <v>3.0892440789473685</v>
      </c>
      <c r="L14" s="31">
        <f t="shared" si="5"/>
        <v>22.158666710728376</v>
      </c>
      <c r="M14" s="24">
        <f t="shared" si="6"/>
        <v>0.9160035868421053</v>
      </c>
      <c r="N14" s="10"/>
    </row>
    <row r="15" spans="6:14" ht="14.25" thickBot="1">
      <c r="F15" s="35">
        <v>8</v>
      </c>
      <c r="G15" s="36">
        <f t="shared" si="0"/>
        <v>0.010468612421052632</v>
      </c>
      <c r="H15" s="37">
        <f t="shared" si="1"/>
        <v>691.9999999999999</v>
      </c>
      <c r="I15" s="38">
        <f t="shared" si="2"/>
        <v>0.37614210526315794</v>
      </c>
      <c r="J15" s="39">
        <f t="shared" si="3"/>
        <v>0.7586192061892799</v>
      </c>
      <c r="K15" s="40">
        <f t="shared" si="4"/>
        <v>3.3852789473684215</v>
      </c>
      <c r="L15" s="41">
        <f t="shared" si="5"/>
        <v>22.40935586058572</v>
      </c>
      <c r="M15" s="24">
        <f t="shared" si="6"/>
        <v>1.0468612421052632</v>
      </c>
      <c r="N15" s="10"/>
    </row>
    <row r="16" spans="2:14" ht="13.5">
      <c r="B16" s="271" t="s">
        <v>26</v>
      </c>
      <c r="C16" s="272"/>
      <c r="D16" s="273"/>
      <c r="F16" s="25">
        <v>9</v>
      </c>
      <c r="G16" s="26">
        <f t="shared" si="0"/>
        <v>0.011777188973684212</v>
      </c>
      <c r="H16" s="27">
        <f t="shared" si="1"/>
        <v>670.375</v>
      </c>
      <c r="I16" s="28">
        <f t="shared" si="2"/>
        <v>0.4090348684210527</v>
      </c>
      <c r="J16" s="29">
        <f t="shared" si="3"/>
        <v>0.8267764004953483</v>
      </c>
      <c r="K16" s="30">
        <f t="shared" si="4"/>
        <v>3.681313815789474</v>
      </c>
      <c r="L16" s="31">
        <f t="shared" si="5"/>
        <v>22.45873190569173</v>
      </c>
      <c r="M16" s="24">
        <f t="shared" si="6"/>
        <v>1.1777188973684212</v>
      </c>
      <c r="N16" s="10"/>
    </row>
    <row r="17" spans="2:14" ht="16.5">
      <c r="B17" s="45" t="s">
        <v>27</v>
      </c>
      <c r="C17" s="46">
        <f>(C6-C11)/(C9-C14)-C19*(C7-C12)/(C9-C14)</f>
        <v>0.00958169862408134</v>
      </c>
      <c r="D17" s="47" t="s">
        <v>28</v>
      </c>
      <c r="F17" s="35">
        <v>10</v>
      </c>
      <c r="G17" s="36">
        <f t="shared" si="0"/>
        <v>0.01308576552631579</v>
      </c>
      <c r="H17" s="37">
        <f t="shared" si="1"/>
        <v>648.75</v>
      </c>
      <c r="I17" s="38">
        <f t="shared" si="2"/>
        <v>0.44192763157894743</v>
      </c>
      <c r="J17" s="39">
        <f t="shared" si="3"/>
        <v>0.8890068822530626</v>
      </c>
      <c r="K17" s="40">
        <f t="shared" si="4"/>
        <v>3.977348684210527</v>
      </c>
      <c r="L17" s="41">
        <f t="shared" si="5"/>
        <v>22.351746171571165</v>
      </c>
      <c r="M17" s="24">
        <f t="shared" si="6"/>
        <v>1.3085765526315791</v>
      </c>
      <c r="N17" s="10"/>
    </row>
    <row r="18" spans="2:14" ht="15">
      <c r="B18" s="45" t="s">
        <v>29</v>
      </c>
      <c r="C18" s="46">
        <f>C4*0.001*9.81*(C8-C13)/(C7-C12)</f>
        <v>0.03978311418685121</v>
      </c>
      <c r="D18" s="47" t="s">
        <v>30</v>
      </c>
      <c r="F18" s="25">
        <v>11</v>
      </c>
      <c r="G18" s="26">
        <f t="shared" si="0"/>
        <v>0.01439434207894737</v>
      </c>
      <c r="H18" s="27">
        <f t="shared" si="1"/>
        <v>627.1249999999999</v>
      </c>
      <c r="I18" s="28">
        <f t="shared" si="2"/>
        <v>0.47482039473684223</v>
      </c>
      <c r="J18" s="29">
        <f t="shared" si="3"/>
        <v>0.9453106514624231</v>
      </c>
      <c r="K18" s="30">
        <f t="shared" si="4"/>
        <v>4.27338355263158</v>
      </c>
      <c r="L18" s="31">
        <f t="shared" si="5"/>
        <v>22.120894130373436</v>
      </c>
      <c r="M18" s="24">
        <f t="shared" si="6"/>
        <v>1.439434207894737</v>
      </c>
      <c r="N18" s="10"/>
    </row>
    <row r="19" spans="2:14" ht="15">
      <c r="B19" s="45" t="s">
        <v>31</v>
      </c>
      <c r="C19" s="46">
        <f>(C6-C9/(C9-C14)*(C6-C11))/(C7-C9/(C9-C14)*(C7-C12))</f>
        <v>6.299386638669392</v>
      </c>
      <c r="D19" s="48" t="s">
        <v>15</v>
      </c>
      <c r="F19" s="35">
        <v>12</v>
      </c>
      <c r="G19" s="36">
        <f t="shared" si="0"/>
        <v>0.01570291863157895</v>
      </c>
      <c r="H19" s="37">
        <f t="shared" si="1"/>
        <v>605.4999999999999</v>
      </c>
      <c r="I19" s="38">
        <f t="shared" si="2"/>
        <v>0.5077131578947369</v>
      </c>
      <c r="J19" s="39">
        <f t="shared" si="3"/>
        <v>0.9956877081234299</v>
      </c>
      <c r="K19" s="40">
        <f t="shared" si="4"/>
        <v>4.5694184210526325</v>
      </c>
      <c r="L19" s="41">
        <f t="shared" si="5"/>
        <v>21.79025023263373</v>
      </c>
      <c r="M19" s="24">
        <f t="shared" si="6"/>
        <v>1.5702918631578948</v>
      </c>
      <c r="N19" s="10"/>
    </row>
    <row r="20" spans="2:14" ht="15">
      <c r="B20" s="45" t="s">
        <v>32</v>
      </c>
      <c r="C20" s="46">
        <f>C7*C18-C4*0.001*9.81*C8</f>
        <v>0.004495491903114187</v>
      </c>
      <c r="D20" s="47" t="s">
        <v>12</v>
      </c>
      <c r="F20" s="35">
        <v>13</v>
      </c>
      <c r="G20" s="36">
        <f t="shared" si="0"/>
        <v>0.01701149518421053</v>
      </c>
      <c r="H20" s="37">
        <f t="shared" si="1"/>
        <v>583.875</v>
      </c>
      <c r="I20" s="38">
        <f t="shared" si="2"/>
        <v>0.5406059210526316</v>
      </c>
      <c r="J20" s="39">
        <f t="shared" si="3"/>
        <v>1.0401380522360835</v>
      </c>
      <c r="K20" s="40">
        <f t="shared" si="4"/>
        <v>4.865453289473685</v>
      </c>
      <c r="L20" s="41">
        <f t="shared" si="5"/>
        <v>21.378029761099594</v>
      </c>
      <c r="M20" s="24">
        <f t="shared" si="6"/>
        <v>1.701149518421053</v>
      </c>
      <c r="N20" s="10"/>
    </row>
    <row r="21" spans="2:14" ht="16.5" thickBot="1">
      <c r="B21" s="49" t="s">
        <v>33</v>
      </c>
      <c r="C21" s="50">
        <f>100*C18/C17*2*PI()/60</f>
        <v>43.4795346732579</v>
      </c>
      <c r="D21" s="51" t="s">
        <v>16</v>
      </c>
      <c r="F21" s="25">
        <v>14</v>
      </c>
      <c r="G21" s="26">
        <f t="shared" si="0"/>
        <v>0.018320071736842105</v>
      </c>
      <c r="H21" s="27">
        <f t="shared" si="1"/>
        <v>562.2499999999999</v>
      </c>
      <c r="I21" s="28">
        <f t="shared" si="2"/>
        <v>0.5734986842105264</v>
      </c>
      <c r="J21" s="29">
        <f t="shared" si="3"/>
        <v>1.0786616838003824</v>
      </c>
      <c r="K21" s="30">
        <f t="shared" si="4"/>
        <v>5.161488157894738</v>
      </c>
      <c r="L21" s="31">
        <f t="shared" si="5"/>
        <v>20.89826908060457</v>
      </c>
      <c r="M21" s="24">
        <f t="shared" si="6"/>
        <v>1.8320071736842105</v>
      </c>
      <c r="N21" s="10"/>
    </row>
    <row r="22" spans="6:14" ht="14.25" thickBot="1">
      <c r="F22" s="35">
        <v>15</v>
      </c>
      <c r="G22" s="36">
        <f t="shared" si="0"/>
        <v>0.019628648289473687</v>
      </c>
      <c r="H22" s="37">
        <f t="shared" si="1"/>
        <v>540.625</v>
      </c>
      <c r="I22" s="38">
        <f t="shared" si="2"/>
        <v>0.6063914473684211</v>
      </c>
      <c r="J22" s="39">
        <f t="shared" si="3"/>
        <v>1.1112586028163283</v>
      </c>
      <c r="K22" s="40">
        <f t="shared" si="4"/>
        <v>5.45752302631579</v>
      </c>
      <c r="L22" s="41">
        <f t="shared" si="5"/>
        <v>20.36195903265855</v>
      </c>
      <c r="M22" s="24">
        <f t="shared" si="6"/>
        <v>1.9628648289473687</v>
      </c>
      <c r="N22" s="10"/>
    </row>
    <row r="23" spans="2:14" ht="13.5">
      <c r="B23" s="271" t="s">
        <v>34</v>
      </c>
      <c r="C23" s="272"/>
      <c r="D23" s="273"/>
      <c r="F23" s="25">
        <v>16</v>
      </c>
      <c r="G23" s="26">
        <f t="shared" si="0"/>
        <v>0.020937224842105265</v>
      </c>
      <c r="H23" s="27">
        <f t="shared" si="1"/>
        <v>519</v>
      </c>
      <c r="I23" s="28">
        <f t="shared" si="2"/>
        <v>0.6392842105263158</v>
      </c>
      <c r="J23" s="29">
        <f t="shared" si="3"/>
        <v>1.1379288092839202</v>
      </c>
      <c r="K23" s="30">
        <f t="shared" si="4"/>
        <v>5.753557894736842</v>
      </c>
      <c r="L23" s="31">
        <f t="shared" si="5"/>
        <v>19.777828434208658</v>
      </c>
      <c r="M23" s="24">
        <f t="shared" si="6"/>
        <v>2.0937224842105264</v>
      </c>
      <c r="N23" s="10"/>
    </row>
    <row r="24" spans="2:14" ht="16.5" thickBot="1">
      <c r="B24" s="52" t="s">
        <v>35</v>
      </c>
      <c r="C24" s="50">
        <v>9</v>
      </c>
      <c r="D24" s="53" t="s">
        <v>11</v>
      </c>
      <c r="F24" s="35">
        <v>17</v>
      </c>
      <c r="G24" s="36">
        <f t="shared" si="0"/>
        <v>0.022245801394736843</v>
      </c>
      <c r="H24" s="37">
        <f t="shared" si="1"/>
        <v>497.37500000000006</v>
      </c>
      <c r="I24" s="38">
        <f t="shared" si="2"/>
        <v>0.6721769736842105</v>
      </c>
      <c r="J24" s="39">
        <f t="shared" si="3"/>
        <v>1.1586723032031585</v>
      </c>
      <c r="K24" s="40">
        <f t="shared" si="4"/>
        <v>6.049592763157895</v>
      </c>
      <c r="L24" s="41">
        <f t="shared" si="5"/>
        <v>19.152897534847124</v>
      </c>
      <c r="M24" s="24">
        <f t="shared" si="6"/>
        <v>2.224580139473684</v>
      </c>
      <c r="N24" s="10"/>
    </row>
    <row r="25" spans="6:14" ht="14.25" thickBot="1">
      <c r="F25" s="25">
        <v>18</v>
      </c>
      <c r="G25" s="26">
        <f t="shared" si="0"/>
        <v>0.023554377947368425</v>
      </c>
      <c r="H25" s="27">
        <f t="shared" si="1"/>
        <v>475.7499999999999</v>
      </c>
      <c r="I25" s="28">
        <f t="shared" si="2"/>
        <v>0.7050697368421054</v>
      </c>
      <c r="J25" s="29">
        <f t="shared" si="3"/>
        <v>1.1734890845740427</v>
      </c>
      <c r="K25" s="30">
        <f t="shared" si="4"/>
        <v>6.345627631578949</v>
      </c>
      <c r="L25" s="31">
        <f t="shared" si="5"/>
        <v>18.49287655541253</v>
      </c>
      <c r="M25" s="24">
        <f t="shared" si="6"/>
        <v>2.3554377947368423</v>
      </c>
      <c r="N25" s="54" t="str">
        <f>CONCATENATE("Die Kennlinien gelten für Motorbetrieb an ",C24,"V.")</f>
        <v>Die Kennlinien gelten für Motorbetrieb an 9V.</v>
      </c>
    </row>
    <row r="26" spans="2:14" ht="13.5">
      <c r="B26" s="256" t="s">
        <v>36</v>
      </c>
      <c r="C26" s="257"/>
      <c r="D26" s="258"/>
      <c r="F26" s="35">
        <v>19</v>
      </c>
      <c r="G26" s="36">
        <f t="shared" si="0"/>
        <v>0.0248629545</v>
      </c>
      <c r="H26" s="37">
        <f t="shared" si="1"/>
        <v>454.125</v>
      </c>
      <c r="I26" s="38">
        <f t="shared" si="2"/>
        <v>0.7379625</v>
      </c>
      <c r="J26" s="39">
        <f t="shared" si="3"/>
        <v>1.1823791533965733</v>
      </c>
      <c r="K26" s="40">
        <f t="shared" si="4"/>
        <v>6.6416625</v>
      </c>
      <c r="L26" s="41">
        <f t="shared" si="5"/>
        <v>17.80245764364831</v>
      </c>
      <c r="M26" s="24">
        <f t="shared" si="6"/>
        <v>2.48629545</v>
      </c>
      <c r="N26" s="10"/>
    </row>
    <row r="27" spans="2:14" ht="15">
      <c r="B27" s="55" t="s">
        <v>37</v>
      </c>
      <c r="C27" s="56">
        <f>C20/C18</f>
        <v>0.113</v>
      </c>
      <c r="D27" s="57" t="s">
        <v>14</v>
      </c>
      <c r="F27" s="58">
        <v>20</v>
      </c>
      <c r="G27" s="59">
        <f t="shared" si="0"/>
        <v>0.02617153105263158</v>
      </c>
      <c r="H27" s="60">
        <f t="shared" si="1"/>
        <v>432.4999999999999</v>
      </c>
      <c r="I27" s="61">
        <f t="shared" si="2"/>
        <v>0.7708552631578949</v>
      </c>
      <c r="J27" s="62">
        <f t="shared" si="3"/>
        <v>1.1853425096707497</v>
      </c>
      <c r="K27" s="63">
        <f t="shared" si="4"/>
        <v>6.937697368421054</v>
      </c>
      <c r="L27" s="64">
        <f t="shared" si="5"/>
        <v>17.085532082534773</v>
      </c>
      <c r="M27" s="24">
        <f t="shared" si="6"/>
        <v>2.6171531052631583</v>
      </c>
      <c r="N27" s="10"/>
    </row>
    <row r="28" spans="2:14" ht="15">
      <c r="B28" s="55" t="s">
        <v>38</v>
      </c>
      <c r="C28" s="56">
        <f>C29*C17</f>
        <v>8.288169309830359</v>
      </c>
      <c r="D28" s="57" t="s">
        <v>11</v>
      </c>
      <c r="F28" s="35">
        <v>21</v>
      </c>
      <c r="G28" s="36">
        <f t="shared" si="0"/>
        <v>0.02748010760526316</v>
      </c>
      <c r="H28" s="37">
        <f t="shared" si="1"/>
        <v>410.87499999999994</v>
      </c>
      <c r="I28" s="38">
        <f t="shared" si="2"/>
        <v>0.8037480263157896</v>
      </c>
      <c r="J28" s="39">
        <f t="shared" si="3"/>
        <v>1.1823791533965733</v>
      </c>
      <c r="K28" s="40">
        <f t="shared" si="4"/>
        <v>7.233732236842106</v>
      </c>
      <c r="L28" s="41">
        <f t="shared" si="5"/>
        <v>16.34535416412845</v>
      </c>
      <c r="M28" s="24">
        <f t="shared" si="6"/>
        <v>2.748010760526316</v>
      </c>
      <c r="N28" s="10"/>
    </row>
    <row r="29" spans="2:14" ht="16.5">
      <c r="B29" s="55" t="s">
        <v>39</v>
      </c>
      <c r="C29" s="65">
        <f>(C24-C27*C19)/C17</f>
        <v>865</v>
      </c>
      <c r="D29" s="57" t="s">
        <v>13</v>
      </c>
      <c r="F29" s="25">
        <v>22</v>
      </c>
      <c r="G29" s="26">
        <f t="shared" si="0"/>
        <v>0.02878868415789474</v>
      </c>
      <c r="H29" s="27">
        <f t="shared" si="1"/>
        <v>389.24999999999994</v>
      </c>
      <c r="I29" s="28">
        <f t="shared" si="2"/>
        <v>0.8366407894736843</v>
      </c>
      <c r="J29" s="29">
        <f t="shared" si="3"/>
        <v>1.1734890845740427</v>
      </c>
      <c r="K29" s="30">
        <f t="shared" si="4"/>
        <v>7.529767105263158</v>
      </c>
      <c r="L29" s="31">
        <f t="shared" si="5"/>
        <v>15.584666406930396</v>
      </c>
      <c r="M29" s="24">
        <f t="shared" si="6"/>
        <v>2.878868415789474</v>
      </c>
      <c r="N29" s="10"/>
    </row>
    <row r="30" spans="2:14" ht="15">
      <c r="B30" s="55" t="s">
        <v>40</v>
      </c>
      <c r="C30" s="66">
        <f>C24*C27</f>
        <v>1.0170000000000001</v>
      </c>
      <c r="D30" s="57" t="s">
        <v>15</v>
      </c>
      <c r="F30" s="35">
        <v>23</v>
      </c>
      <c r="G30" s="36">
        <f t="shared" si="0"/>
        <v>0.03009726071052632</v>
      </c>
      <c r="H30" s="37">
        <f t="shared" si="1"/>
        <v>367.625</v>
      </c>
      <c r="I30" s="38">
        <f t="shared" si="2"/>
        <v>0.869533552631579</v>
      </c>
      <c r="J30" s="39">
        <f t="shared" si="3"/>
        <v>1.1586723032031583</v>
      </c>
      <c r="K30" s="40">
        <f t="shared" si="4"/>
        <v>7.825801973684212</v>
      </c>
      <c r="L30" s="41">
        <f t="shared" si="5"/>
        <v>14.805796352877575</v>
      </c>
      <c r="M30" s="24">
        <f t="shared" si="6"/>
        <v>3.009726071052632</v>
      </c>
      <c r="N30" s="10"/>
    </row>
    <row r="31" spans="2:14" ht="13.5">
      <c r="B31" s="259" t="s">
        <v>41</v>
      </c>
      <c r="C31" s="260"/>
      <c r="D31" s="261"/>
      <c r="F31" s="25">
        <v>24</v>
      </c>
      <c r="G31" s="26">
        <f t="shared" si="0"/>
        <v>0.0314058372631579</v>
      </c>
      <c r="H31" s="27">
        <f t="shared" si="1"/>
        <v>346.00000000000006</v>
      </c>
      <c r="I31" s="28">
        <f t="shared" si="2"/>
        <v>0.9024263157894737</v>
      </c>
      <c r="J31" s="29">
        <f t="shared" si="3"/>
        <v>1.1379288092839204</v>
      </c>
      <c r="K31" s="30">
        <f t="shared" si="4"/>
        <v>8.121836842105264</v>
      </c>
      <c r="L31" s="31">
        <f t="shared" si="5"/>
        <v>14.010732195267265</v>
      </c>
      <c r="M31" s="24">
        <f t="shared" si="6"/>
        <v>3.1405837263157896</v>
      </c>
      <c r="N31" s="10"/>
    </row>
    <row r="32" spans="2:14" ht="15">
      <c r="B32" s="67" t="s">
        <v>42</v>
      </c>
      <c r="C32" s="68">
        <f>(C35+C20)/C18</f>
        <v>0.40180130596313907</v>
      </c>
      <c r="D32" s="69" t="s">
        <v>14</v>
      </c>
      <c r="F32" s="35">
        <v>25</v>
      </c>
      <c r="G32" s="36">
        <f t="shared" si="0"/>
        <v>0.032714413815789475</v>
      </c>
      <c r="H32" s="37">
        <f t="shared" si="1"/>
        <v>324.375</v>
      </c>
      <c r="I32" s="38">
        <f t="shared" si="2"/>
        <v>0.9353190789473684</v>
      </c>
      <c r="J32" s="39">
        <f t="shared" si="3"/>
        <v>1.1112586028163283</v>
      </c>
      <c r="K32" s="40">
        <f t="shared" si="4"/>
        <v>8.417871710526317</v>
      </c>
      <c r="L32" s="41">
        <f t="shared" si="5"/>
        <v>13.201182448845472</v>
      </c>
      <c r="M32" s="24">
        <f t="shared" si="6"/>
        <v>3.2714413815789474</v>
      </c>
      <c r="N32" s="10"/>
    </row>
    <row r="33" spans="2:14" ht="15">
      <c r="B33" s="67" t="s">
        <v>43</v>
      </c>
      <c r="C33" s="68">
        <f>C34*C17</f>
        <v>6.4688982218158895</v>
      </c>
      <c r="D33" s="69" t="s">
        <v>11</v>
      </c>
      <c r="F33" s="25">
        <v>26</v>
      </c>
      <c r="G33" s="26">
        <f t="shared" si="0"/>
        <v>0.03402299036842106</v>
      </c>
      <c r="H33" s="27">
        <f t="shared" si="1"/>
        <v>302.74999999999994</v>
      </c>
      <c r="I33" s="28">
        <f t="shared" si="2"/>
        <v>0.9682118421052633</v>
      </c>
      <c r="J33" s="29">
        <f t="shared" si="3"/>
        <v>1.0786616838003826</v>
      </c>
      <c r="K33" s="30">
        <f t="shared" si="4"/>
        <v>8.71390657894737</v>
      </c>
      <c r="L33" s="31">
        <f t="shared" si="5"/>
        <v>12.378623456974033</v>
      </c>
      <c r="M33" s="24">
        <f t="shared" si="6"/>
        <v>3.402299036842106</v>
      </c>
      <c r="N33" s="10"/>
    </row>
    <row r="34" spans="2:14" ht="16.5">
      <c r="B34" s="67" t="s">
        <v>44</v>
      </c>
      <c r="C34" s="70">
        <f>C24/C17-SQRT(C24*C19*C20/C18)/C17</f>
        <v>675.1306292975902</v>
      </c>
      <c r="D34" s="69" t="s">
        <v>13</v>
      </c>
      <c r="F34" s="35">
        <v>27</v>
      </c>
      <c r="G34" s="36">
        <f t="shared" si="0"/>
        <v>0.03533156692105263</v>
      </c>
      <c r="H34" s="37">
        <f t="shared" si="1"/>
        <v>281.12500000000006</v>
      </c>
      <c r="I34" s="38">
        <f t="shared" si="2"/>
        <v>1.0011046052631578</v>
      </c>
      <c r="J34" s="39">
        <f t="shared" si="3"/>
        <v>1.0401380522360835</v>
      </c>
      <c r="K34" s="40">
        <f t="shared" si="4"/>
        <v>9.009941447368421</v>
      </c>
      <c r="L34" s="41">
        <f t="shared" si="5"/>
        <v>11.544337533290872</v>
      </c>
      <c r="M34" s="24">
        <f t="shared" si="6"/>
        <v>3.5331566921052633</v>
      </c>
      <c r="N34" s="10"/>
    </row>
    <row r="35" spans="2:14" ht="15">
      <c r="B35" s="67" t="s">
        <v>45</v>
      </c>
      <c r="C35" s="71">
        <f>C18*(C24-(C34*C17))/C19-C20</f>
        <v>0.011489415332443314</v>
      </c>
      <c r="D35" s="69" t="s">
        <v>12</v>
      </c>
      <c r="F35" s="25">
        <v>28</v>
      </c>
      <c r="G35" s="26">
        <f t="shared" si="0"/>
        <v>0.03664014347368421</v>
      </c>
      <c r="H35" s="27">
        <f t="shared" si="1"/>
        <v>259.5000000000001</v>
      </c>
      <c r="I35" s="28">
        <f t="shared" si="2"/>
        <v>1.0339973684210526</v>
      </c>
      <c r="J35" s="29">
        <f t="shared" si="3"/>
        <v>0.9956877081234305</v>
      </c>
      <c r="K35" s="30">
        <f t="shared" si="4"/>
        <v>9.305976315789474</v>
      </c>
      <c r="L35" s="31">
        <f t="shared" si="5"/>
        <v>10.699443823363753</v>
      </c>
      <c r="M35" s="24">
        <f t="shared" si="6"/>
        <v>3.664014347368421</v>
      </c>
      <c r="N35" s="10"/>
    </row>
    <row r="36" spans="2:14" ht="15">
      <c r="B36" s="67" t="s">
        <v>46</v>
      </c>
      <c r="C36" s="72">
        <f>2*PI()*C35*C34/60</f>
        <v>0.8122960821450433</v>
      </c>
      <c r="D36" s="69" t="s">
        <v>15</v>
      </c>
      <c r="F36" s="35">
        <v>29</v>
      </c>
      <c r="G36" s="36">
        <f t="shared" si="0"/>
        <v>0.03794872002631579</v>
      </c>
      <c r="H36" s="37">
        <f t="shared" si="1"/>
        <v>237.87500000000003</v>
      </c>
      <c r="I36" s="38">
        <f t="shared" si="2"/>
        <v>1.0668901315789474</v>
      </c>
      <c r="J36" s="39">
        <f t="shared" si="3"/>
        <v>0.9453106514624232</v>
      </c>
      <c r="K36" s="40">
        <f t="shared" si="4"/>
        <v>9.602011184210527</v>
      </c>
      <c r="L36" s="41">
        <f t="shared" si="5"/>
        <v>9.844923457461546</v>
      </c>
      <c r="M36" s="24">
        <f t="shared" si="6"/>
        <v>3.7948720026315788</v>
      </c>
      <c r="N36" s="10"/>
    </row>
    <row r="37" spans="2:14" ht="15">
      <c r="B37" s="73" t="s">
        <v>47</v>
      </c>
      <c r="C37" s="74">
        <f>200*PI()*C34/(60*C24)*(C18-(C19*C20)/(C24-C34*C17))</f>
        <v>22.46262490909328</v>
      </c>
      <c r="D37" s="75" t="s">
        <v>16</v>
      </c>
      <c r="F37" s="25">
        <v>30</v>
      </c>
      <c r="G37" s="26">
        <f t="shared" si="0"/>
        <v>0.03925729657894737</v>
      </c>
      <c r="H37" s="27">
        <f t="shared" si="1"/>
        <v>216.25</v>
      </c>
      <c r="I37" s="28">
        <f t="shared" si="2"/>
        <v>1.0997828947368422</v>
      </c>
      <c r="J37" s="29">
        <f t="shared" si="3"/>
        <v>0.8890068822530627</v>
      </c>
      <c r="K37" s="30">
        <f t="shared" si="4"/>
        <v>9.89804605263158</v>
      </c>
      <c r="L37" s="31">
        <f t="shared" si="5"/>
        <v>8.981640189648376</v>
      </c>
      <c r="M37" s="24">
        <f t="shared" si="6"/>
        <v>3.9257296578947374</v>
      </c>
      <c r="N37" s="10"/>
    </row>
    <row r="38" spans="2:14" ht="13.5">
      <c r="B38" s="262" t="s">
        <v>48</v>
      </c>
      <c r="C38" s="263"/>
      <c r="D38" s="264"/>
      <c r="F38" s="35">
        <v>31</v>
      </c>
      <c r="G38" s="36">
        <f t="shared" si="0"/>
        <v>0.04056587313157895</v>
      </c>
      <c r="H38" s="37">
        <f t="shared" si="1"/>
        <v>194.62499999999994</v>
      </c>
      <c r="I38" s="38">
        <f t="shared" si="2"/>
        <v>1.132675657894737</v>
      </c>
      <c r="J38" s="39">
        <f t="shared" si="3"/>
        <v>0.8267764004953481</v>
      </c>
      <c r="K38" s="40">
        <f t="shared" si="4"/>
        <v>10.194080921052633</v>
      </c>
      <c r="L38" s="41">
        <f t="shared" si="5"/>
        <v>8.110357440737047</v>
      </c>
      <c r="M38" s="24">
        <f t="shared" si="6"/>
        <v>4.056587313157896</v>
      </c>
      <c r="N38" s="10"/>
    </row>
    <row r="39" spans="2:14" ht="15">
      <c r="B39" s="76" t="s">
        <v>49</v>
      </c>
      <c r="C39" s="77">
        <f>C24/(2*C19)+C27/2</f>
        <v>0.7708552631578948</v>
      </c>
      <c r="D39" s="78" t="s">
        <v>14</v>
      </c>
      <c r="F39" s="25">
        <v>32</v>
      </c>
      <c r="G39" s="26">
        <f t="shared" si="0"/>
        <v>0.04187444968421053</v>
      </c>
      <c r="H39" s="27">
        <f t="shared" si="1"/>
        <v>173.00000000000006</v>
      </c>
      <c r="I39" s="28">
        <f t="shared" si="2"/>
        <v>1.1655684210526316</v>
      </c>
      <c r="J39" s="29">
        <f t="shared" si="3"/>
        <v>0.7586192061892804</v>
      </c>
      <c r="K39" s="30">
        <f t="shared" si="4"/>
        <v>10.490115789473684</v>
      </c>
      <c r="L39" s="31">
        <f t="shared" si="5"/>
        <v>7.231752455492603</v>
      </c>
      <c r="M39" s="24">
        <f t="shared" si="6"/>
        <v>4.187444968421053</v>
      </c>
      <c r="N39" s="10"/>
    </row>
    <row r="40" spans="2:14" ht="15">
      <c r="B40" s="76" t="s">
        <v>50</v>
      </c>
      <c r="C40" s="77">
        <f>C24-C39*C19</f>
        <v>4.144084654915179</v>
      </c>
      <c r="D40" s="78" t="s">
        <v>11</v>
      </c>
      <c r="F40" s="35">
        <v>33</v>
      </c>
      <c r="G40" s="36">
        <f t="shared" si="0"/>
        <v>0.04318302623684211</v>
      </c>
      <c r="H40" s="37">
        <f t="shared" si="1"/>
        <v>151.375</v>
      </c>
      <c r="I40" s="38">
        <f t="shared" si="2"/>
        <v>1.1984611842105264</v>
      </c>
      <c r="J40" s="39">
        <f t="shared" si="3"/>
        <v>0.6845352993348582</v>
      </c>
      <c r="K40" s="40">
        <f t="shared" si="4"/>
        <v>10.786150657894737</v>
      </c>
      <c r="L40" s="41">
        <f t="shared" si="5"/>
        <v>6.346428128498506</v>
      </c>
      <c r="M40" s="24">
        <f t="shared" si="6"/>
        <v>4.318302623684211</v>
      </c>
      <c r="N40" s="10"/>
    </row>
    <row r="41" spans="2:14" ht="16.5">
      <c r="B41" s="76" t="s">
        <v>51</v>
      </c>
      <c r="C41" s="79">
        <f>C40/C17</f>
        <v>432.5</v>
      </c>
      <c r="D41" s="78" t="s">
        <v>13</v>
      </c>
      <c r="F41" s="25">
        <v>34</v>
      </c>
      <c r="G41" s="26">
        <f t="shared" si="0"/>
        <v>0.044491602789473686</v>
      </c>
      <c r="H41" s="27">
        <f t="shared" si="1"/>
        <v>129.74999999999994</v>
      </c>
      <c r="I41" s="28">
        <f t="shared" si="2"/>
        <v>1.2313539473684212</v>
      </c>
      <c r="J41" s="29">
        <f t="shared" si="3"/>
        <v>0.6045246799320824</v>
      </c>
      <c r="K41" s="30">
        <f t="shared" si="4"/>
        <v>11.08218552631579</v>
      </c>
      <c r="L41" s="31">
        <f t="shared" si="5"/>
        <v>5.454922934619496</v>
      </c>
      <c r="M41" s="24">
        <f t="shared" si="6"/>
        <v>4.449160278947368</v>
      </c>
      <c r="N41" s="10"/>
    </row>
    <row r="42" spans="2:14" ht="15">
      <c r="B42" s="76" t="s">
        <v>52</v>
      </c>
      <c r="C42" s="80">
        <f>C39*C18-C20</f>
        <v>0.026171531052631578</v>
      </c>
      <c r="D42" s="78" t="s">
        <v>12</v>
      </c>
      <c r="F42" s="35">
        <v>35</v>
      </c>
      <c r="G42" s="36">
        <f t="shared" si="0"/>
        <v>0.04580017934210527</v>
      </c>
      <c r="H42" s="37">
        <f t="shared" si="1"/>
        <v>108.1249999999999</v>
      </c>
      <c r="I42" s="38">
        <f t="shared" si="2"/>
        <v>1.264246710526316</v>
      </c>
      <c r="J42" s="39">
        <f t="shared" si="3"/>
        <v>0.5185873479809527</v>
      </c>
      <c r="K42" s="40">
        <f t="shared" si="4"/>
        <v>11.378220394736843</v>
      </c>
      <c r="L42" s="41">
        <f t="shared" si="5"/>
        <v>4.557719309258878</v>
      </c>
      <c r="M42" s="24">
        <f t="shared" si="6"/>
        <v>4.580017934210527</v>
      </c>
      <c r="N42" s="10"/>
    </row>
    <row r="43" spans="2:14" ht="15">
      <c r="B43" s="76" t="s">
        <v>53</v>
      </c>
      <c r="C43" s="81">
        <f>2*PI()*C42*C41/60</f>
        <v>1.1853425096707502</v>
      </c>
      <c r="D43" s="78" t="s">
        <v>15</v>
      </c>
      <c r="F43" s="25">
        <v>36</v>
      </c>
      <c r="G43" s="26">
        <f t="shared" si="0"/>
        <v>0.04710875589473685</v>
      </c>
      <c r="H43" s="27">
        <f t="shared" si="1"/>
        <v>86.49999999999984</v>
      </c>
      <c r="I43" s="28">
        <f t="shared" si="2"/>
        <v>1.2971394736842108</v>
      </c>
      <c r="J43" s="29">
        <f t="shared" si="3"/>
        <v>0.42672330348146936</v>
      </c>
      <c r="K43" s="30">
        <f t="shared" si="4"/>
        <v>11.674255263157898</v>
      </c>
      <c r="L43" s="31">
        <f t="shared" si="5"/>
        <v>3.655250753580321</v>
      </c>
      <c r="M43" s="24">
        <f t="shared" si="6"/>
        <v>4.710875589473685</v>
      </c>
      <c r="N43" s="10"/>
    </row>
    <row r="44" spans="2:14" ht="15">
      <c r="B44" s="82" t="s">
        <v>54</v>
      </c>
      <c r="C44" s="83">
        <f>100*C43/(C39*C24)</f>
        <v>17.08553208253478</v>
      </c>
      <c r="D44" s="84" t="s">
        <v>16</v>
      </c>
      <c r="F44" s="35">
        <v>37</v>
      </c>
      <c r="G44" s="36">
        <f t="shared" si="0"/>
        <v>0.04841733244736843</v>
      </c>
      <c r="H44" s="37">
        <f t="shared" si="1"/>
        <v>64.87499999999997</v>
      </c>
      <c r="I44" s="38">
        <f t="shared" si="2"/>
        <v>1.3300322368421054</v>
      </c>
      <c r="J44" s="39">
        <f t="shared" si="3"/>
        <v>0.32893254643363307</v>
      </c>
      <c r="K44" s="40">
        <f t="shared" si="4"/>
        <v>11.970290131578949</v>
      </c>
      <c r="L44" s="41">
        <f t="shared" si="5"/>
        <v>2.747907885422699</v>
      </c>
      <c r="M44" s="24">
        <f t="shared" si="6"/>
        <v>4.841733244736843</v>
      </c>
      <c r="N44" s="10"/>
    </row>
    <row r="45" spans="2:14" ht="13.5">
      <c r="B45" s="265" t="s">
        <v>55</v>
      </c>
      <c r="C45" s="266"/>
      <c r="D45" s="267"/>
      <c r="F45" s="25">
        <v>38</v>
      </c>
      <c r="G45" s="26">
        <f t="shared" si="0"/>
        <v>0.049725909</v>
      </c>
      <c r="H45" s="27">
        <f t="shared" si="1"/>
        <v>43.25000000000011</v>
      </c>
      <c r="I45" s="28">
        <f t="shared" si="2"/>
        <v>1.362925</v>
      </c>
      <c r="J45" s="29">
        <f t="shared" si="3"/>
        <v>0.22521507683744305</v>
      </c>
      <c r="K45" s="30">
        <f t="shared" si="4"/>
        <v>12.266325</v>
      </c>
      <c r="L45" s="31">
        <f t="shared" si="5"/>
        <v>1.8360436140200347</v>
      </c>
      <c r="M45" s="24">
        <f t="shared" si="6"/>
        <v>4.9725909</v>
      </c>
      <c r="N45" s="10"/>
    </row>
    <row r="46" spans="2:14" ht="15">
      <c r="B46" s="85" t="s">
        <v>56</v>
      </c>
      <c r="C46" s="86">
        <f>C18*C24/C19-C20</f>
        <v>0.05234306210526316</v>
      </c>
      <c r="D46" s="87" t="s">
        <v>12</v>
      </c>
      <c r="F46" s="25">
        <v>39</v>
      </c>
      <c r="G46" s="36">
        <f t="shared" si="0"/>
        <v>0.051034485552631584</v>
      </c>
      <c r="H46" s="27">
        <f t="shared" si="1"/>
        <v>21.62499999999987</v>
      </c>
      <c r="I46" s="28">
        <f t="shared" si="2"/>
        <v>1.395817763157895</v>
      </c>
      <c r="J46" s="29">
        <f t="shared" si="3"/>
        <v>0.11557089469289746</v>
      </c>
      <c r="K46" s="30">
        <f t="shared" si="4"/>
        <v>12.562359868421055</v>
      </c>
      <c r="L46" s="31">
        <f t="shared" si="5"/>
        <v>0.9199775830607805</v>
      </c>
      <c r="M46" s="24">
        <f t="shared" si="6"/>
        <v>5.103448555263158</v>
      </c>
      <c r="N46" s="10"/>
    </row>
    <row r="47" spans="2:14" ht="15.75" thickBot="1">
      <c r="B47" s="88" t="s">
        <v>57</v>
      </c>
      <c r="C47" s="89">
        <f>C24/C19</f>
        <v>1.4287105263157895</v>
      </c>
      <c r="D47" s="90" t="s">
        <v>14</v>
      </c>
      <c r="F47" s="91">
        <v>40</v>
      </c>
      <c r="G47" s="92">
        <f t="shared" si="0"/>
        <v>0.05234306210526316</v>
      </c>
      <c r="H47" s="93">
        <f t="shared" si="1"/>
        <v>0</v>
      </c>
      <c r="I47" s="94">
        <f t="shared" si="2"/>
        <v>1.4287105263157895</v>
      </c>
      <c r="J47" s="95">
        <f t="shared" si="3"/>
        <v>0</v>
      </c>
      <c r="K47" s="96">
        <f t="shared" si="4"/>
        <v>12.858394736842106</v>
      </c>
      <c r="L47" s="97">
        <f t="shared" si="5"/>
        <v>0</v>
      </c>
      <c r="M47" s="24">
        <f t="shared" si="6"/>
        <v>5.2343062105263165</v>
      </c>
      <c r="N47" s="98"/>
    </row>
    <row r="48" spans="2:12" s="24" customFormat="1" ht="6" customHeight="1">
      <c r="B48" s="1"/>
      <c r="C48" s="1"/>
      <c r="D48" s="1"/>
      <c r="F48" s="24">
        <f aca="true" t="shared" si="7" ref="F48:L48">INDEX($F$7:$L$47,MATCH(MAX($L$7:$L$47),$L$7:$L$47,0),0)</f>
        <v>9</v>
      </c>
      <c r="G48" s="24">
        <f t="shared" si="7"/>
        <v>0.011777188973684212</v>
      </c>
      <c r="H48" s="24">
        <f t="shared" si="7"/>
        <v>670.375</v>
      </c>
      <c r="I48" s="24">
        <f t="shared" si="7"/>
        <v>0.4090348684210527</v>
      </c>
      <c r="J48" s="24">
        <f t="shared" si="7"/>
        <v>0.8267764004953483</v>
      </c>
      <c r="K48" s="24">
        <f t="shared" si="7"/>
        <v>3.681313815789474</v>
      </c>
      <c r="L48" s="24">
        <f t="shared" si="7"/>
        <v>22.45873190569173</v>
      </c>
    </row>
    <row r="49" spans="2:3" ht="13.5">
      <c r="B49" s="1" t="s">
        <v>140</v>
      </c>
      <c r="C49" s="1" t="s">
        <v>141</v>
      </c>
    </row>
    <row r="50" spans="3:11" ht="13.5">
      <c r="C50" s="1" t="s">
        <v>142</v>
      </c>
      <c r="K50" s="1" t="s">
        <v>142</v>
      </c>
    </row>
    <row r="51" spans="3:11" ht="13.5">
      <c r="C51" s="1" t="s">
        <v>143</v>
      </c>
      <c r="K51" s="1" t="s">
        <v>145</v>
      </c>
    </row>
    <row r="52" spans="3:11" ht="13.5">
      <c r="C52" s="1" t="s">
        <v>144</v>
      </c>
      <c r="K52" s="1" t="s">
        <v>147</v>
      </c>
    </row>
    <row r="53" spans="3:11" ht="13.5">
      <c r="C53" s="1" t="s">
        <v>146</v>
      </c>
      <c r="K53" s="1" t="s">
        <v>150</v>
      </c>
    </row>
    <row r="54" spans="3:11" ht="13.5">
      <c r="C54" s="1" t="s">
        <v>148</v>
      </c>
      <c r="K54" s="1" t="s">
        <v>148</v>
      </c>
    </row>
    <row r="55" spans="3:11" ht="13.5">
      <c r="C55" s="1" t="s">
        <v>149</v>
      </c>
      <c r="K55" s="1" t="s">
        <v>149</v>
      </c>
    </row>
    <row r="59" spans="2:4" ht="13.5">
      <c r="B59" s="24"/>
      <c r="C59" s="24"/>
      <c r="D59" s="24"/>
    </row>
  </sheetData>
  <sheetProtection/>
  <mergeCells count="10">
    <mergeCell ref="B16:D16"/>
    <mergeCell ref="B23:D23"/>
    <mergeCell ref="B2:N2"/>
    <mergeCell ref="F4:L4"/>
    <mergeCell ref="B5:D5"/>
    <mergeCell ref="B10:D10"/>
    <mergeCell ref="B26:D26"/>
    <mergeCell ref="B31:D31"/>
    <mergeCell ref="B38:D38"/>
    <mergeCell ref="B45:D45"/>
  </mergeCells>
  <conditionalFormatting sqref="F7:F27">
    <cfRule type="cellIs" priority="7" dxfId="0" operator="equal" stopIfTrue="1">
      <formula>$F$48</formula>
    </cfRule>
  </conditionalFormatting>
  <conditionalFormatting sqref="G7:G27">
    <cfRule type="cellIs" priority="6" dxfId="0" operator="equal" stopIfTrue="1">
      <formula>$G$48</formula>
    </cfRule>
  </conditionalFormatting>
  <conditionalFormatting sqref="H7:H27">
    <cfRule type="cellIs" priority="5" dxfId="0" operator="equal" stopIfTrue="1">
      <formula>$H$48</formula>
    </cfRule>
  </conditionalFormatting>
  <conditionalFormatting sqref="I7:I27">
    <cfRule type="cellIs" priority="4" dxfId="0" operator="equal" stopIfTrue="1">
      <formula>$I$48</formula>
    </cfRule>
  </conditionalFormatting>
  <conditionalFormatting sqref="J7:J27">
    <cfRule type="cellIs" priority="3" dxfId="0" operator="equal" stopIfTrue="1">
      <formula>$J$48</formula>
    </cfRule>
  </conditionalFormatting>
  <conditionalFormatting sqref="K7:K27">
    <cfRule type="cellIs" priority="2" dxfId="0" operator="equal" stopIfTrue="1">
      <formula>$K$48</formula>
    </cfRule>
  </conditionalFormatting>
  <conditionalFormatting sqref="L7:L27">
    <cfRule type="cellIs" priority="1" dxfId="0" operator="equal" stopIfTrue="1">
      <formula>$L$48</formula>
    </cfRule>
  </conditionalFormatting>
  <printOptions horizontalCentered="1" verticalCentered="1"/>
  <pageMargins left="0.7086614173228346" right="0.7086614173228346" top="0.7480314960629921" bottom="0.7480314960629921" header="0.31496062992125984" footer="0.31496062992125984"/>
  <pageSetup fitToHeight="1" fitToWidth="1" horizontalDpi="300" verticalDpi="300" orientation="landscape" paperSize="9" scale="6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6"/>
  <sheetViews>
    <sheetView zoomScale="80" zoomScaleNormal="80" zoomScalePageLayoutView="0" workbookViewId="0" topLeftCell="A1">
      <selection activeCell="A8" sqref="A8"/>
    </sheetView>
  </sheetViews>
  <sheetFormatPr defaultColWidth="9.140625" defaultRowHeight="15"/>
  <cols>
    <col min="1" max="1" width="19.421875" style="162" customWidth="1"/>
    <col min="2" max="2" width="26.57421875" style="162" bestFit="1" customWidth="1"/>
    <col min="3" max="3" width="11.00390625" style="162" bestFit="1" customWidth="1"/>
    <col min="4" max="5" width="8.421875" style="162" customWidth="1"/>
    <col min="6" max="6" width="11.00390625" style="162" customWidth="1"/>
    <col min="7" max="9" width="8.421875" style="162" customWidth="1"/>
    <col min="10" max="10" width="8.57421875" style="162" bestFit="1" customWidth="1"/>
    <col min="11" max="11" width="8.421875" style="162" customWidth="1"/>
    <col min="12" max="12" width="8.57421875" style="162" customWidth="1"/>
    <col min="13" max="14" width="9.421875" style="162" customWidth="1"/>
    <col min="15" max="15" width="15.8515625" style="162" customWidth="1"/>
    <col min="16" max="16384" width="9.140625" style="162" customWidth="1"/>
  </cols>
  <sheetData>
    <row r="1" spans="1:12" ht="216.75" customHeight="1">
      <c r="A1" s="161" t="s">
        <v>136</v>
      </c>
      <c r="B1" s="254" t="s">
        <v>139</v>
      </c>
      <c r="C1" s="254"/>
      <c r="D1" s="254"/>
      <c r="E1" s="254"/>
      <c r="F1" s="254"/>
      <c r="G1" s="254"/>
      <c r="H1" s="254"/>
      <c r="I1" s="254"/>
      <c r="J1" s="254"/>
      <c r="K1" s="254"/>
      <c r="L1" s="254"/>
    </row>
    <row r="3" spans="1:12" ht="119.25" customHeight="1">
      <c r="A3" s="162" t="s">
        <v>128</v>
      </c>
      <c r="B3" s="254" t="s">
        <v>137</v>
      </c>
      <c r="C3" s="254"/>
      <c r="D3" s="254"/>
      <c r="E3" s="254"/>
      <c r="F3" s="254"/>
      <c r="G3" s="254"/>
      <c r="H3" s="254"/>
      <c r="I3" s="254"/>
      <c r="J3" s="254"/>
      <c r="K3" s="254"/>
      <c r="L3" s="254"/>
    </row>
    <row r="4" spans="2:12" ht="14.25">
      <c r="B4" s="161"/>
      <c r="C4" s="161"/>
      <c r="D4" s="161"/>
      <c r="E4" s="161"/>
      <c r="F4" s="161"/>
      <c r="G4" s="161"/>
      <c r="H4" s="161"/>
      <c r="I4" s="161"/>
      <c r="J4" s="161"/>
      <c r="K4" s="161"/>
      <c r="L4" s="161"/>
    </row>
    <row r="5" spans="1:2" ht="14.25">
      <c r="A5" s="236" t="s">
        <v>129</v>
      </c>
      <c r="B5" s="237" t="s">
        <v>132</v>
      </c>
    </row>
    <row r="6" spans="1:2" ht="14.25">
      <c r="A6" s="236" t="s">
        <v>130</v>
      </c>
      <c r="B6" s="237" t="s">
        <v>133</v>
      </c>
    </row>
  </sheetData>
  <sheetProtection formatCells="0" formatColumns="0" formatRows="0" insertColumns="0" insertRows="0" insertHyperlinks="0" deleteColumns="0" deleteRows="0" selectLockedCells="1" sort="0" autoFilter="0" pivotTables="0"/>
  <mergeCells count="2">
    <mergeCell ref="B1:L1"/>
    <mergeCell ref="B3:L3"/>
  </mergeCells>
  <hyperlinks>
    <hyperlink ref="B6" r:id="rId1" display="ft-community - Motor-Vergleichsrechner"/>
    <hyperlink ref="B5" r:id="rId2" display="ft:pedia Heft3/2013"/>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Continental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TFELI6</dc:creator>
  <cp:keywords/>
  <dc:description/>
  <cp:lastModifiedBy>Admin</cp:lastModifiedBy>
  <cp:lastPrinted>2013-09-05T19:45:54Z</cp:lastPrinted>
  <dcterms:created xsi:type="dcterms:W3CDTF">2013-09-05T05:00:37Z</dcterms:created>
  <dcterms:modified xsi:type="dcterms:W3CDTF">2013-09-05T20:01:14Z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